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ustomProperty1.bin" ContentType="application/vnd.openxmlformats-officedocument.spreadsheetml.customProperty"/>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O:\R.24-09-012 Long-Term Gas Planning\SB 1221 Defining Program\"/>
    </mc:Choice>
  </mc:AlternateContent>
  <xr:revisionPtr revIDLastSave="0" documentId="8_{23B43F56-C764-414C-B6F3-B0B337F69880}" xr6:coauthVersionLast="47" xr6:coauthVersionMax="47" xr10:uidLastSave="{00000000-0000-0000-0000-000000000000}"/>
  <bookViews>
    <workbookView xWindow="-108" yWindow="-108" windowWidth="23256" windowHeight="12456" xr2:uid="{79446AAD-70E6-4E1D-B48D-92C43DFA041E}"/>
  </bookViews>
  <sheets>
    <sheet name="Overview and Directions" sheetId="12" r:id="rId1"/>
    <sheet name="PGnE Calculations" sheetId="13" r:id="rId2"/>
    <sheet name="PGnE NPV Calc Details" sheetId="34" r:id="rId3"/>
    <sheet name="PGnE Costs Data" sheetId="27" r:id="rId4"/>
    <sheet name="PGnE Pressure Districts" sheetId="32" r:id="rId5"/>
    <sheet name="SoCalGas Calculations" sheetId="37" r:id="rId6"/>
    <sheet name="SoCalGas NPV Calc Details" sheetId="38" r:id="rId7"/>
    <sheet name="SoCalGas Costs Data" sheetId="26" r:id="rId8"/>
    <sheet name="SCG PressureDistricts" sheetId="18" r:id="rId9"/>
    <sheet name="SDGE Calculations" sheetId="42" r:id="rId10"/>
    <sheet name="SDGE NPV Calc Details" sheetId="41" r:id="rId11"/>
    <sheet name="SDGE Costs Data" sheetId="28" r:id="rId12"/>
    <sheet name="SDGE Pressure Districts" sheetId="40" r:id="rId13"/>
    <sheet name="SWG Calculations" sheetId="44" r:id="rId14"/>
    <sheet name="SWG NPV Calc Details" sheetId="45" r:id="rId15"/>
    <sheet name="SWG Costs Data" sheetId="43" r:id="rId16"/>
    <sheet name="Drop-Down Menus" sheetId="36" r:id="rId17"/>
    <sheet name="Charts" sheetId="23" r:id="rId18"/>
    <sheet name="Definitions" sheetId="1" r:id="rId19"/>
    <sheet name="Definitions of Other Misc Costs" sheetId="10" r:id="rId20"/>
  </sheets>
  <definedNames>
    <definedName name="_xlnm._FilterDatabase" localSheetId="4" hidden="1">'PGnE Pressure Districts'!$A$6:$N$446</definedName>
    <definedName name="_xlnm._FilterDatabase" localSheetId="8" hidden="1">'SCG PressureDistricts'!$A$5:$M$602</definedName>
    <definedName name="_ftn1" localSheetId="19">'Definitions of Other Misc Costs'!#REF!</definedName>
    <definedName name="_ftn1" localSheetId="1">'PGnE Calculations'!#REF!</definedName>
    <definedName name="_ftn1" localSheetId="3">'PGnE Costs Data'!$B$26</definedName>
    <definedName name="_ftn1" localSheetId="4">'PGnE Pressure Districts'!#REF!</definedName>
    <definedName name="_ftn1" localSheetId="8">'SCG PressureDistricts'!#REF!</definedName>
    <definedName name="_ftn1" localSheetId="9">'SDGE Calculations'!#REF!</definedName>
    <definedName name="_ftn1" localSheetId="11">'SDGE Costs Data'!$B$26</definedName>
    <definedName name="_ftn1" localSheetId="12">'SDGE Pressure Districts'!#REF!</definedName>
    <definedName name="_ftn1" localSheetId="5">'SoCalGas Calculations'!#REF!</definedName>
    <definedName name="_ftn1" localSheetId="7">'SoCalGas Costs Data'!$B$26</definedName>
    <definedName name="_ftn1" localSheetId="13">'SWG Calculations'!#REF!</definedName>
    <definedName name="_ftn1" localSheetId="15">'SWG Costs Data'!#REF!</definedName>
    <definedName name="_ftn2" localSheetId="19">'Definitions of Other Misc Costs'!#REF!</definedName>
    <definedName name="_ftn2" localSheetId="1">'PGnE Calculations'!#REF!</definedName>
    <definedName name="_ftn2" localSheetId="3">'PGnE Costs Data'!$B$27</definedName>
    <definedName name="_ftn2" localSheetId="4">'PGnE Pressure Districts'!#REF!</definedName>
    <definedName name="_ftn2" localSheetId="8">'SCG PressureDistricts'!#REF!</definedName>
    <definedName name="_ftn2" localSheetId="9">'SDGE Calculations'!#REF!</definedName>
    <definedName name="_ftn2" localSheetId="11">'SDGE Costs Data'!$B$27</definedName>
    <definedName name="_ftn2" localSheetId="12">'SDGE Pressure Districts'!#REF!</definedName>
    <definedName name="_ftn2" localSheetId="5">'SoCalGas Calculations'!#REF!</definedName>
    <definedName name="_ftn2" localSheetId="7">'SoCalGas Costs Data'!$B$27</definedName>
    <definedName name="_ftn2" localSheetId="13">'SWG Calculations'!#REF!</definedName>
    <definedName name="_ftn2" localSheetId="15">'SWG Costs Data'!$B$27</definedName>
    <definedName name="_ftn4" localSheetId="18">Definitions!$B$33</definedName>
    <definedName name="_ftn5" localSheetId="18">Definitions!$B$34</definedName>
    <definedName name="_ftn6" localSheetId="18">Definitions!$B$35</definedName>
    <definedName name="_ftn7" localSheetId="18">Definitions!$B$36</definedName>
    <definedName name="_ftnref1" localSheetId="19">'Definitions of Other Misc Costs'!#REF!</definedName>
    <definedName name="_ftnref1" localSheetId="1">'PGnE Calculations'!$I$13</definedName>
    <definedName name="_ftnref1" localSheetId="3">'PGnE Costs Data'!$R$9</definedName>
    <definedName name="_ftnref1" localSheetId="4">'PGnE Pressure Districts'!#REF!</definedName>
    <definedName name="_ftnref1" localSheetId="8">'SCG PressureDistricts'!#REF!</definedName>
    <definedName name="_ftnref1" localSheetId="9">'SDGE Calculations'!$I$13</definedName>
    <definedName name="_ftnref1" localSheetId="11">'SDGE Costs Data'!$F$9</definedName>
    <definedName name="_ftnref1" localSheetId="12">'SDGE Pressure Districts'!#REF!</definedName>
    <definedName name="_ftnref1" localSheetId="5">'SoCalGas Calculations'!$I$13</definedName>
    <definedName name="_ftnref1" localSheetId="7">'SoCalGas Costs Data'!$F$9</definedName>
    <definedName name="_ftnref1" localSheetId="13">'SWG Calculations'!$I$13</definedName>
    <definedName name="_ftnref1" localSheetId="15">'SWG Costs Data'!#REF!</definedName>
    <definedName name="_ftnref10" localSheetId="18">Definitions!$B$23</definedName>
    <definedName name="_ftnref11" localSheetId="18">Definitions!$B$25</definedName>
    <definedName name="_ftnref2" localSheetId="19">'Definitions of Other Misc Costs'!#REF!</definedName>
    <definedName name="_ftnref2" localSheetId="1">'PGnE Calculations'!#REF!</definedName>
    <definedName name="_ftnref2" localSheetId="3">'PGnE Costs Data'!$R$20</definedName>
    <definedName name="_ftnref2" localSheetId="4">'PGnE Pressure Districts'!#REF!</definedName>
    <definedName name="_ftnref2" localSheetId="8">'SCG PressureDistricts'!#REF!</definedName>
    <definedName name="_ftnref2" localSheetId="9">'SDGE Calculations'!#REF!</definedName>
    <definedName name="_ftnref2" localSheetId="11">'SDGE Costs Data'!$F$20</definedName>
    <definedName name="_ftnref2" localSheetId="12">'SDGE Pressure Districts'!#REF!</definedName>
    <definedName name="_ftnref2" localSheetId="5">'SoCalGas Calculations'!#REF!</definedName>
    <definedName name="_ftnref2" localSheetId="7">'SoCalGas Costs Data'!$F$20</definedName>
    <definedName name="_ftnref2" localSheetId="13">'SWG Calculations'!#REF!</definedName>
    <definedName name="_ftnref2" localSheetId="15">'SWG Costs Data'!#REF!</definedName>
    <definedName name="_ftnref3" localSheetId="18">Definitions!$B$14</definedName>
    <definedName name="_ftnref4" localSheetId="18">Definitions!$B$15</definedName>
    <definedName name="_ftnref5" localSheetId="18">Definitions!$B$16</definedName>
    <definedName name="_ftnref6" localSheetId="18">Definitions!$B$17</definedName>
    <definedName name="_ftnref7" localSheetId="18">Definitions!$B$18</definedName>
    <definedName name="_ftnref8" localSheetId="18">Definitions!$B$21</definedName>
    <definedName name="_ftnref9" localSheetId="18">Definitions!$B$22</definedName>
    <definedName name="_xlnm.Print_Area" localSheetId="8">'SCG PressureDistricts'!$A$5:$M$602</definedName>
    <definedName name="_xlnm.Print_Area" localSheetId="11">'SDGE Costs Data'!$B$5:$K$50</definedName>
    <definedName name="_xlnm.Print_Area" localSheetId="12">'SDGE Pressure Districts'!$A$6:$M$99</definedName>
    <definedName name="_xlnm.Print_Area" localSheetId="7">'SoCalGas Costs Data'!$B$5:$BA$38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94" i="45" l="1"/>
  <c r="I94" i="45"/>
  <c r="E94" i="45"/>
  <c r="M93" i="45"/>
  <c r="E84" i="45"/>
  <c r="M83" i="45"/>
  <c r="I83" i="45"/>
  <c r="E83" i="45"/>
  <c r="I73" i="45"/>
  <c r="E73" i="45"/>
  <c r="M72" i="45"/>
  <c r="I72" i="45"/>
  <c r="M62" i="45"/>
  <c r="I62" i="45"/>
  <c r="E62" i="45"/>
  <c r="M61" i="45"/>
  <c r="M52" i="45"/>
  <c r="I52" i="45"/>
  <c r="E52" i="45"/>
  <c r="M51" i="45"/>
  <c r="G7" i="44"/>
  <c r="B4" i="45" s="1" a="1"/>
  <c r="B12" i="45" s="1"/>
  <c r="G16" i="44"/>
  <c r="G17" i="44"/>
  <c r="D14" i="44"/>
  <c r="E14" i="44" s="1"/>
  <c r="J3" i="45" s="1"/>
  <c r="F14" i="44" s="1"/>
  <c r="D13" i="44"/>
  <c r="E13" i="44" s="1"/>
  <c r="F3" i="45" s="1"/>
  <c r="K17" i="44"/>
  <c r="J17" i="44"/>
  <c r="J8" i="44"/>
  <c r="G11" i="43"/>
  <c r="H11" i="43"/>
  <c r="I11" i="43"/>
  <c r="J11" i="43"/>
  <c r="K11" i="43"/>
  <c r="L11" i="43"/>
  <c r="M11" i="43"/>
  <c r="F11" i="43"/>
  <c r="M28" i="43"/>
  <c r="M27" i="43"/>
  <c r="M103" i="45" l="1"/>
  <c r="I98" i="45"/>
  <c r="E93" i="45"/>
  <c r="M87" i="45"/>
  <c r="I82" i="45"/>
  <c r="E77" i="45"/>
  <c r="M71" i="45"/>
  <c r="I66" i="45"/>
  <c r="E61" i="45"/>
  <c r="M55" i="45"/>
  <c r="I50" i="45"/>
  <c r="I103" i="45"/>
  <c r="E98" i="45"/>
  <c r="M92" i="45"/>
  <c r="I87" i="45"/>
  <c r="E82" i="45"/>
  <c r="M76" i="45"/>
  <c r="I71" i="45"/>
  <c r="E66" i="45"/>
  <c r="M60" i="45"/>
  <c r="I55" i="45"/>
  <c r="E50" i="45"/>
  <c r="E103" i="45"/>
  <c r="M97" i="45"/>
  <c r="I92" i="45"/>
  <c r="E87" i="45"/>
  <c r="M81" i="45"/>
  <c r="I76" i="45"/>
  <c r="E71" i="45"/>
  <c r="M65" i="45"/>
  <c r="I60" i="45"/>
  <c r="E55" i="45"/>
  <c r="M49" i="45"/>
  <c r="M102" i="45"/>
  <c r="I97" i="45"/>
  <c r="E92" i="45"/>
  <c r="M86" i="45"/>
  <c r="I81" i="45"/>
  <c r="E76" i="45"/>
  <c r="M70" i="45"/>
  <c r="I65" i="45"/>
  <c r="E60" i="45"/>
  <c r="M54" i="45"/>
  <c r="I49" i="45"/>
  <c r="I102" i="45"/>
  <c r="E97" i="45"/>
  <c r="M91" i="45"/>
  <c r="I86" i="45"/>
  <c r="E81" i="45"/>
  <c r="M75" i="45"/>
  <c r="I70" i="45"/>
  <c r="E65" i="45"/>
  <c r="M59" i="45"/>
  <c r="I54" i="45"/>
  <c r="E49" i="45"/>
  <c r="E102" i="45"/>
  <c r="M96" i="45"/>
  <c r="I91" i="45"/>
  <c r="E86" i="45"/>
  <c r="M80" i="45"/>
  <c r="I75" i="45"/>
  <c r="E70" i="45"/>
  <c r="M64" i="45"/>
  <c r="I59" i="45"/>
  <c r="E54" i="45"/>
  <c r="M48" i="45"/>
  <c r="M101" i="45"/>
  <c r="I96" i="45"/>
  <c r="E91" i="45"/>
  <c r="M85" i="45"/>
  <c r="I80" i="45"/>
  <c r="E75" i="45"/>
  <c r="M69" i="45"/>
  <c r="I64" i="45"/>
  <c r="E59" i="45"/>
  <c r="M53" i="45"/>
  <c r="I48" i="45"/>
  <c r="I101" i="45"/>
  <c r="E96" i="45"/>
  <c r="M90" i="45"/>
  <c r="I85" i="45"/>
  <c r="E80" i="45"/>
  <c r="M74" i="45"/>
  <c r="I69" i="45"/>
  <c r="E64" i="45"/>
  <c r="E53" i="45"/>
  <c r="E63" i="45"/>
  <c r="M73" i="45"/>
  <c r="I84" i="45"/>
  <c r="E95" i="45"/>
  <c r="I53" i="45"/>
  <c r="I63" i="45"/>
  <c r="E74" i="45"/>
  <c r="M84" i="45"/>
  <c r="I95" i="45"/>
  <c r="E56" i="45"/>
  <c r="M63" i="45"/>
  <c r="I74" i="45"/>
  <c r="E85" i="45"/>
  <c r="M95" i="45"/>
  <c r="I56" i="45"/>
  <c r="M66" i="45"/>
  <c r="I77" i="45"/>
  <c r="E88" i="45"/>
  <c r="M98" i="45"/>
  <c r="M56" i="45"/>
  <c r="E67" i="45"/>
  <c r="M77" i="45"/>
  <c r="I88" i="45"/>
  <c r="E99" i="45"/>
  <c r="E57" i="45"/>
  <c r="I67" i="45"/>
  <c r="E78" i="45"/>
  <c r="M88" i="45"/>
  <c r="I99" i="45"/>
  <c r="I57" i="45"/>
  <c r="M67" i="45"/>
  <c r="I78" i="45"/>
  <c r="E89" i="45"/>
  <c r="M99" i="45"/>
  <c r="M57" i="45"/>
  <c r="E68" i="45"/>
  <c r="M78" i="45"/>
  <c r="I89" i="45"/>
  <c r="E100" i="45"/>
  <c r="E48" i="45"/>
  <c r="E58" i="45"/>
  <c r="I68" i="45"/>
  <c r="E79" i="45"/>
  <c r="M89" i="45"/>
  <c r="I100" i="45"/>
  <c r="M50" i="45"/>
  <c r="I58" i="45"/>
  <c r="M68" i="45"/>
  <c r="I79" i="45"/>
  <c r="E90" i="45"/>
  <c r="M100" i="45"/>
  <c r="E51" i="45"/>
  <c r="M58" i="45"/>
  <c r="E69" i="45"/>
  <c r="M79" i="45"/>
  <c r="I90" i="45"/>
  <c r="E101" i="45"/>
  <c r="I51" i="45"/>
  <c r="I61" i="45"/>
  <c r="E72" i="45"/>
  <c r="M82" i="45"/>
  <c r="I93" i="45"/>
  <c r="K4" i="45" a="1"/>
  <c r="K4" i="45" s="1"/>
  <c r="L4" i="45" s="1" a="1"/>
  <c r="C4" i="45" a="1"/>
  <c r="G4" i="45" a="1"/>
  <c r="B11" i="45"/>
  <c r="B45" i="45"/>
  <c r="B29" i="45"/>
  <c r="B44" i="45"/>
  <c r="B28" i="45"/>
  <c r="B43" i="45"/>
  <c r="B27" i="45"/>
  <c r="B42" i="45"/>
  <c r="B26" i="45"/>
  <c r="B10" i="45"/>
  <c r="B41" i="45"/>
  <c r="B25" i="45"/>
  <c r="B9" i="45"/>
  <c r="B40" i="45"/>
  <c r="B24" i="45"/>
  <c r="B8" i="45"/>
  <c r="B39" i="45"/>
  <c r="B23" i="45"/>
  <c r="B7" i="45"/>
  <c r="B38" i="45"/>
  <c r="B22" i="45"/>
  <c r="B6" i="45"/>
  <c r="B37" i="45"/>
  <c r="B21" i="45"/>
  <c r="B5" i="45"/>
  <c r="B36" i="45"/>
  <c r="B20" i="45"/>
  <c r="B4" i="45"/>
  <c r="B35" i="45"/>
  <c r="B19" i="45"/>
  <c r="B16" i="45"/>
  <c r="B47" i="45"/>
  <c r="B31" i="45"/>
  <c r="B15" i="45"/>
  <c r="B34" i="45"/>
  <c r="B18" i="45"/>
  <c r="B33" i="45"/>
  <c r="B17" i="45"/>
  <c r="B32" i="45"/>
  <c r="B46" i="45"/>
  <c r="B30" i="45"/>
  <c r="B14" i="45"/>
  <c r="B13" i="45"/>
  <c r="E17" i="44"/>
  <c r="M14" i="43"/>
  <c r="M26" i="43"/>
  <c r="M25" i="43"/>
  <c r="M24" i="43"/>
  <c r="M23" i="43"/>
  <c r="M7" i="43"/>
  <c r="M21" i="43"/>
  <c r="M18" i="43"/>
  <c r="M17" i="43"/>
  <c r="M9" i="43"/>
  <c r="M6" i="43"/>
  <c r="Q103" i="41"/>
  <c r="M103" i="41"/>
  <c r="I103" i="41"/>
  <c r="E103" i="41"/>
  <c r="Q102" i="41"/>
  <c r="M102" i="41"/>
  <c r="Q101" i="41"/>
  <c r="M101" i="41"/>
  <c r="I101" i="41"/>
  <c r="E101" i="41"/>
  <c r="Q100" i="41"/>
  <c r="M100" i="41"/>
  <c r="I100" i="41"/>
  <c r="E100" i="41"/>
  <c r="Q99" i="41"/>
  <c r="M99" i="41"/>
  <c r="I99" i="41"/>
  <c r="E99" i="41"/>
  <c r="Q98" i="41"/>
  <c r="M98" i="41"/>
  <c r="Q97" i="41"/>
  <c r="M97" i="41"/>
  <c r="I97" i="41"/>
  <c r="E97" i="41"/>
  <c r="Q96" i="41"/>
  <c r="M96" i="41"/>
  <c r="I96" i="41"/>
  <c r="E96" i="41"/>
  <c r="Q95" i="41"/>
  <c r="M95" i="41"/>
  <c r="I95" i="41"/>
  <c r="E95" i="41"/>
  <c r="Q94" i="41"/>
  <c r="M94" i="41"/>
  <c r="Q93" i="41"/>
  <c r="M93" i="41"/>
  <c r="I93" i="41"/>
  <c r="E93" i="41"/>
  <c r="Q92" i="41"/>
  <c r="M92" i="41"/>
  <c r="I92" i="41"/>
  <c r="E92" i="41"/>
  <c r="Q91" i="41"/>
  <c r="M91" i="41"/>
  <c r="I91" i="41"/>
  <c r="E91" i="41"/>
  <c r="Q90" i="41"/>
  <c r="M90" i="41"/>
  <c r="Q89" i="41"/>
  <c r="M89" i="41"/>
  <c r="I89" i="41"/>
  <c r="E89" i="41"/>
  <c r="Q88" i="41"/>
  <c r="M88" i="41"/>
  <c r="I88" i="41"/>
  <c r="E88" i="41"/>
  <c r="Q87" i="41"/>
  <c r="M87" i="41"/>
  <c r="I87" i="41"/>
  <c r="E87" i="41"/>
  <c r="Q86" i="41"/>
  <c r="M86" i="41"/>
  <c r="Q85" i="41"/>
  <c r="M85" i="41"/>
  <c r="I85" i="41"/>
  <c r="E85" i="41"/>
  <c r="Q84" i="41"/>
  <c r="M84" i="41"/>
  <c r="I84" i="41"/>
  <c r="E84" i="41"/>
  <c r="Q83" i="41"/>
  <c r="M83" i="41"/>
  <c r="I83" i="41"/>
  <c r="E83" i="41"/>
  <c r="Q82" i="41"/>
  <c r="M82" i="41"/>
  <c r="Q81" i="41"/>
  <c r="M81" i="41"/>
  <c r="I81" i="41"/>
  <c r="E81" i="41"/>
  <c r="Q80" i="41"/>
  <c r="M80" i="41"/>
  <c r="I80" i="41"/>
  <c r="E80" i="41"/>
  <c r="Q79" i="41"/>
  <c r="M79" i="41"/>
  <c r="I79" i="41"/>
  <c r="E79" i="41"/>
  <c r="Q78" i="41"/>
  <c r="M78" i="41"/>
  <c r="Q77" i="41"/>
  <c r="M77" i="41"/>
  <c r="I77" i="41"/>
  <c r="E77" i="41"/>
  <c r="Q76" i="41"/>
  <c r="M76" i="41"/>
  <c r="I76" i="41"/>
  <c r="E76" i="41"/>
  <c r="Q75" i="41"/>
  <c r="M75" i="41"/>
  <c r="I75" i="41"/>
  <c r="E75" i="41"/>
  <c r="Q74" i="41"/>
  <c r="M74" i="41"/>
  <c r="Q73" i="41"/>
  <c r="M73" i="41"/>
  <c r="I73" i="41"/>
  <c r="E73" i="41"/>
  <c r="Q72" i="41"/>
  <c r="M72" i="41"/>
  <c r="I72" i="41"/>
  <c r="E72" i="41"/>
  <c r="Q71" i="41"/>
  <c r="M71" i="41"/>
  <c r="I71" i="41"/>
  <c r="E71" i="41"/>
  <c r="Q70" i="41"/>
  <c r="M70" i="41"/>
  <c r="Q69" i="41"/>
  <c r="M69" i="41"/>
  <c r="I69" i="41"/>
  <c r="E69" i="41"/>
  <c r="Q68" i="41"/>
  <c r="M68" i="41"/>
  <c r="I68" i="41"/>
  <c r="E68" i="41"/>
  <c r="Q67" i="41"/>
  <c r="M67" i="41"/>
  <c r="I67" i="41"/>
  <c r="E67" i="41"/>
  <c r="Q66" i="41"/>
  <c r="M66" i="41"/>
  <c r="Q65" i="41"/>
  <c r="M65" i="41"/>
  <c r="I65" i="41"/>
  <c r="E65" i="41"/>
  <c r="Q64" i="41"/>
  <c r="M64" i="41"/>
  <c r="I64" i="41"/>
  <c r="E64" i="41"/>
  <c r="Q63" i="41"/>
  <c r="M63" i="41"/>
  <c r="I63" i="41"/>
  <c r="E63" i="41"/>
  <c r="Q62" i="41"/>
  <c r="M62" i="41"/>
  <c r="Q61" i="41"/>
  <c r="M61" i="41"/>
  <c r="I61" i="41"/>
  <c r="E61" i="41"/>
  <c r="Q60" i="41"/>
  <c r="M60" i="41"/>
  <c r="I60" i="41"/>
  <c r="E60" i="41"/>
  <c r="Q59" i="41"/>
  <c r="M59" i="41"/>
  <c r="I59" i="41"/>
  <c r="E59" i="41"/>
  <c r="Q58" i="41"/>
  <c r="M58" i="41"/>
  <c r="Q57" i="41"/>
  <c r="M57" i="41"/>
  <c r="I57" i="41"/>
  <c r="E57" i="41"/>
  <c r="Q56" i="41"/>
  <c r="M56" i="41"/>
  <c r="I56" i="41"/>
  <c r="E56" i="41"/>
  <c r="Q55" i="41"/>
  <c r="M55" i="41"/>
  <c r="I55" i="41"/>
  <c r="E55" i="41"/>
  <c r="Q54" i="41"/>
  <c r="M54" i="41"/>
  <c r="Q53" i="41"/>
  <c r="M53" i="41"/>
  <c r="I53" i="41"/>
  <c r="E53" i="41"/>
  <c r="Q52" i="41"/>
  <c r="M52" i="41"/>
  <c r="I52" i="41"/>
  <c r="E52" i="41"/>
  <c r="Q51" i="41"/>
  <c r="M51" i="41"/>
  <c r="I51" i="41"/>
  <c r="E51" i="41"/>
  <c r="Q50" i="41"/>
  <c r="M50" i="41"/>
  <c r="Q49" i="41"/>
  <c r="M49" i="41"/>
  <c r="I49" i="41"/>
  <c r="E49" i="41"/>
  <c r="Q48" i="41"/>
  <c r="M48" i="41"/>
  <c r="I48" i="41"/>
  <c r="E48" i="41"/>
  <c r="G16" i="42"/>
  <c r="G17" i="42" s="1"/>
  <c r="D15" i="42"/>
  <c r="E15" i="42" s="1"/>
  <c r="D14" i="42"/>
  <c r="E14" i="42" s="1"/>
  <c r="D13" i="42"/>
  <c r="E13" i="42" s="1"/>
  <c r="G7" i="42"/>
  <c r="K17" i="42"/>
  <c r="J17" i="42"/>
  <c r="J8" i="42"/>
  <c r="I102" i="41" s="1"/>
  <c r="K29" i="28"/>
  <c r="K28" i="28"/>
  <c r="E50" i="41" l="1"/>
  <c r="E54" i="41"/>
  <c r="E58" i="41"/>
  <c r="E62" i="41"/>
  <c r="E66" i="41"/>
  <c r="E70" i="41"/>
  <c r="E74" i="41"/>
  <c r="E78" i="41"/>
  <c r="E82" i="41"/>
  <c r="E86" i="41"/>
  <c r="E90" i="41"/>
  <c r="E94" i="41"/>
  <c r="E98" i="41"/>
  <c r="E102" i="41"/>
  <c r="I50" i="41"/>
  <c r="I54" i="41"/>
  <c r="I58" i="41"/>
  <c r="I62" i="41"/>
  <c r="I66" i="41"/>
  <c r="I70" i="41"/>
  <c r="I74" i="41"/>
  <c r="I78" i="41"/>
  <c r="I82" i="41"/>
  <c r="I86" i="41"/>
  <c r="I90" i="41"/>
  <c r="I94" i="41"/>
  <c r="I98" i="41"/>
  <c r="M42" i="45"/>
  <c r="M47" i="45"/>
  <c r="I47" i="45"/>
  <c r="E47" i="45"/>
  <c r="M6" i="45"/>
  <c r="M24" i="45"/>
  <c r="M8" i="45"/>
  <c r="M38" i="45"/>
  <c r="M44" i="45"/>
  <c r="I44" i="45"/>
  <c r="E44" i="45"/>
  <c r="M36" i="45"/>
  <c r="L4" i="45"/>
  <c r="M4" i="45" s="1"/>
  <c r="M28" i="45"/>
  <c r="M12" i="45"/>
  <c r="M32" i="45"/>
  <c r="M16" i="45"/>
  <c r="M25" i="45"/>
  <c r="M29" i="45"/>
  <c r="M14" i="45"/>
  <c r="M23" i="45"/>
  <c r="M27" i="45"/>
  <c r="M26" i="45"/>
  <c r="M35" i="45"/>
  <c r="M34" i="45"/>
  <c r="M43" i="45"/>
  <c r="M20" i="45"/>
  <c r="M5" i="45"/>
  <c r="M11" i="45"/>
  <c r="M15" i="45"/>
  <c r="M40" i="45"/>
  <c r="M18" i="45"/>
  <c r="M31" i="45"/>
  <c r="M39" i="45"/>
  <c r="I45" i="45"/>
  <c r="M45" i="45"/>
  <c r="E45" i="45"/>
  <c r="M9" i="45"/>
  <c r="M13" i="45"/>
  <c r="G4" i="45"/>
  <c r="H4" i="45" s="1" a="1"/>
  <c r="H4" i="45" s="1"/>
  <c r="I4" i="45" s="1"/>
  <c r="M33" i="45"/>
  <c r="M41" i="45"/>
  <c r="M37" i="45"/>
  <c r="M7" i="45"/>
  <c r="M10" i="45"/>
  <c r="M19" i="45"/>
  <c r="M22" i="45"/>
  <c r="E46" i="45"/>
  <c r="M46" i="45"/>
  <c r="I46" i="45"/>
  <c r="M30" i="45"/>
  <c r="M17" i="45"/>
  <c r="M21" i="45"/>
  <c r="C4" i="45"/>
  <c r="D4" i="45" s="1" a="1"/>
  <c r="D4" i="45" s="1"/>
  <c r="E4" i="45" s="1"/>
  <c r="O4" i="41" a="1"/>
  <c r="O4" i="41" s="1"/>
  <c r="P4" i="41" s="1" a="1"/>
  <c r="P4" i="41" s="1"/>
  <c r="F3" i="41"/>
  <c r="J3" i="41"/>
  <c r="N3" i="41"/>
  <c r="I15" i="44" s="1"/>
  <c r="L15" i="44" s="1"/>
  <c r="K3" i="45"/>
  <c r="B4" i="41" a="1"/>
  <c r="B46" i="41" s="1"/>
  <c r="Q46" i="41" s="1"/>
  <c r="C4" i="41" a="1"/>
  <c r="C4" i="41" s="1"/>
  <c r="D4" i="41" s="1" a="1"/>
  <c r="D4" i="41" s="1"/>
  <c r="G4" i="41" a="1"/>
  <c r="G4" i="41" s="1"/>
  <c r="H4" i="41" s="1" a="1"/>
  <c r="H4" i="41" s="1"/>
  <c r="K4" i="41" a="1"/>
  <c r="K4" i="41" s="1"/>
  <c r="E17" i="42"/>
  <c r="G3" i="45" l="1"/>
  <c r="B37" i="41"/>
  <c r="B21" i="41"/>
  <c r="B16" i="41"/>
  <c r="Q16" i="41" s="1"/>
  <c r="B47" i="41"/>
  <c r="M47" i="41" s="1"/>
  <c r="B31" i="41"/>
  <c r="Q31" i="41" s="1"/>
  <c r="I24" i="45"/>
  <c r="I39" i="45"/>
  <c r="E28" i="45"/>
  <c r="I40" i="45"/>
  <c r="I33" i="45"/>
  <c r="I43" i="45"/>
  <c r="E37" i="45"/>
  <c r="I38" i="45"/>
  <c r="I7" i="45"/>
  <c r="E43" i="45"/>
  <c r="E15" i="45"/>
  <c r="E19" i="45"/>
  <c r="E17" i="45"/>
  <c r="I16" i="45"/>
  <c r="I19" i="45"/>
  <c r="E25" i="45"/>
  <c r="I32" i="45"/>
  <c r="I23" i="45"/>
  <c r="I27" i="45"/>
  <c r="E6" i="45"/>
  <c r="I36" i="45"/>
  <c r="E14" i="45"/>
  <c r="I25" i="45"/>
  <c r="E18" i="45"/>
  <c r="E5" i="45"/>
  <c r="E26" i="45"/>
  <c r="I12" i="45"/>
  <c r="I37" i="45"/>
  <c r="E13" i="45"/>
  <c r="E30" i="45"/>
  <c r="I28" i="45"/>
  <c r="I6" i="45"/>
  <c r="E16" i="45"/>
  <c r="I10" i="45"/>
  <c r="E32" i="45"/>
  <c r="I18" i="45"/>
  <c r="I34" i="45"/>
  <c r="E8" i="45"/>
  <c r="E31" i="45"/>
  <c r="I42" i="45"/>
  <c r="E24" i="45"/>
  <c r="E35" i="45"/>
  <c r="I9" i="45"/>
  <c r="E10" i="45"/>
  <c r="I8" i="45"/>
  <c r="I35" i="45"/>
  <c r="E12" i="45"/>
  <c r="I14" i="45"/>
  <c r="E7" i="45"/>
  <c r="I29" i="45"/>
  <c r="E22" i="45"/>
  <c r="E11" i="45"/>
  <c r="I41" i="45"/>
  <c r="I11" i="45"/>
  <c r="E9" i="45"/>
  <c r="I15" i="45"/>
  <c r="E20" i="45"/>
  <c r="E23" i="45"/>
  <c r="I26" i="45"/>
  <c r="E36" i="45"/>
  <c r="E27" i="45"/>
  <c r="E41" i="45"/>
  <c r="I20" i="45"/>
  <c r="I31" i="45"/>
  <c r="E40" i="45"/>
  <c r="E39" i="45"/>
  <c r="I17" i="45"/>
  <c r="E21" i="45"/>
  <c r="E34" i="45"/>
  <c r="I5" i="45"/>
  <c r="E29" i="45"/>
  <c r="E38" i="45"/>
  <c r="I13" i="45"/>
  <c r="I22" i="45"/>
  <c r="E33" i="45"/>
  <c r="E42" i="45"/>
  <c r="I21" i="45"/>
  <c r="I30" i="45"/>
  <c r="F14" i="42"/>
  <c r="I14" i="42" s="1"/>
  <c r="L14" i="42" s="1"/>
  <c r="I14" i="44"/>
  <c r="L14" i="44" s="1"/>
  <c r="F15" i="42"/>
  <c r="I15" i="42" s="1"/>
  <c r="L15" i="42" s="1"/>
  <c r="B13" i="41"/>
  <c r="Q13" i="41" s="1"/>
  <c r="B44" i="41"/>
  <c r="Q44" i="41" s="1"/>
  <c r="B28" i="41"/>
  <c r="Q28" i="41" s="1"/>
  <c r="B39" i="41"/>
  <c r="E39" i="41" s="1"/>
  <c r="K3" i="41"/>
  <c r="L4" i="41" a="1"/>
  <c r="L4" i="41" s="1"/>
  <c r="B12" i="41"/>
  <c r="Q12" i="41" s="1"/>
  <c r="B5" i="41"/>
  <c r="E5" i="41" s="1"/>
  <c r="B15" i="41"/>
  <c r="Q15" i="41" s="1"/>
  <c r="B43" i="41"/>
  <c r="Q43" i="41" s="1"/>
  <c r="B36" i="41"/>
  <c r="Q36" i="41" s="1"/>
  <c r="B34" i="41"/>
  <c r="I34" i="41" s="1"/>
  <c r="B27" i="41"/>
  <c r="Q27" i="41" s="1"/>
  <c r="B4" i="41"/>
  <c r="I4" i="41" s="1"/>
  <c r="B18" i="41"/>
  <c r="Q18" i="41" s="1"/>
  <c r="B11" i="41"/>
  <c r="Q11" i="41" s="1"/>
  <c r="B35" i="41"/>
  <c r="I35" i="41" s="1"/>
  <c r="B17" i="41"/>
  <c r="Q17" i="41" s="1"/>
  <c r="B42" i="41"/>
  <c r="Q42" i="41" s="1"/>
  <c r="B23" i="41"/>
  <c r="E23" i="41" s="1"/>
  <c r="B26" i="41"/>
  <c r="B7" i="41"/>
  <c r="Q7" i="41" s="1"/>
  <c r="B10" i="41"/>
  <c r="I10" i="41" s="1"/>
  <c r="B38" i="41"/>
  <c r="Q38" i="41" s="1"/>
  <c r="B41" i="41"/>
  <c r="E41" i="41" s="1"/>
  <c r="B22" i="41"/>
  <c r="Q22" i="41" s="1"/>
  <c r="B25" i="41"/>
  <c r="B6" i="41"/>
  <c r="E46" i="41"/>
  <c r="B30" i="41"/>
  <c r="Q30" i="41" s="1"/>
  <c r="B9" i="41"/>
  <c r="Q9" i="41" s="1"/>
  <c r="B20" i="41"/>
  <c r="Q20" i="41" s="1"/>
  <c r="I46" i="41"/>
  <c r="B14" i="41"/>
  <c r="Q14" i="41" s="1"/>
  <c r="B40" i="41"/>
  <c r="Q40" i="41" s="1"/>
  <c r="B19" i="41"/>
  <c r="E19" i="41" s="1"/>
  <c r="M46" i="41"/>
  <c r="B45" i="41"/>
  <c r="M45" i="41" s="1"/>
  <c r="B24" i="41"/>
  <c r="E24" i="41" s="1"/>
  <c r="B33" i="41"/>
  <c r="Q33" i="41" s="1"/>
  <c r="B29" i="41"/>
  <c r="E29" i="41" s="1"/>
  <c r="B8" i="41"/>
  <c r="Q8" i="41" s="1"/>
  <c r="B32" i="41"/>
  <c r="I32" i="41" s="1"/>
  <c r="Q37" i="41"/>
  <c r="I37" i="41"/>
  <c r="E37" i="41"/>
  <c r="Q47" i="41"/>
  <c r="Q21" i="41"/>
  <c r="E21" i="41"/>
  <c r="I21" i="41"/>
  <c r="I31" i="41"/>
  <c r="E31" i="41"/>
  <c r="G3" i="41"/>
  <c r="O3" i="41"/>
  <c r="C3" i="41"/>
  <c r="E16" i="41" l="1"/>
  <c r="I16" i="41"/>
  <c r="E44" i="41"/>
  <c r="I44" i="41"/>
  <c r="M31" i="41"/>
  <c r="M37" i="41"/>
  <c r="Q29" i="41"/>
  <c r="I33" i="41"/>
  <c r="M33" i="41"/>
  <c r="M6" i="41"/>
  <c r="M21" i="41"/>
  <c r="M25" i="41"/>
  <c r="E33" i="41"/>
  <c r="M39" i="41"/>
  <c r="E12" i="41"/>
  <c r="M10" i="41"/>
  <c r="Q39" i="41"/>
  <c r="I12" i="41"/>
  <c r="E47" i="41"/>
  <c r="E13" i="41"/>
  <c r="E45" i="41"/>
  <c r="I23" i="41"/>
  <c r="M43" i="41"/>
  <c r="I5" i="41"/>
  <c r="I39" i="41"/>
  <c r="Q5" i="41"/>
  <c r="I28" i="41"/>
  <c r="I13" i="41"/>
  <c r="M12" i="41"/>
  <c r="I47" i="41"/>
  <c r="E28" i="41"/>
  <c r="M28" i="41"/>
  <c r="M44" i="41"/>
  <c r="Q10" i="41"/>
  <c r="E7" i="41"/>
  <c r="M16" i="41"/>
  <c r="M26" i="41"/>
  <c r="I7" i="41"/>
  <c r="E43" i="41"/>
  <c r="C3" i="45"/>
  <c r="I43" i="41"/>
  <c r="L3" i="45"/>
  <c r="H3" i="45"/>
  <c r="I19" i="41"/>
  <c r="I26" i="41"/>
  <c r="Q26" i="41"/>
  <c r="Q45" i="41"/>
  <c r="E26" i="41"/>
  <c r="E6" i="41"/>
  <c r="Q19" i="41"/>
  <c r="Q23" i="41"/>
  <c r="I40" i="41"/>
  <c r="E42" i="41"/>
  <c r="I42" i="41"/>
  <c r="M14" i="41"/>
  <c r="I6" i="41"/>
  <c r="Q6" i="41"/>
  <c r="M19" i="41"/>
  <c r="M23" i="41"/>
  <c r="E40" i="41"/>
  <c r="M40" i="41"/>
  <c r="M42" i="41"/>
  <c r="E14" i="41"/>
  <c r="M35" i="41"/>
  <c r="I14" i="41"/>
  <c r="Q35" i="41"/>
  <c r="E11" i="41"/>
  <c r="M34" i="41"/>
  <c r="E8" i="41"/>
  <c r="M32" i="41"/>
  <c r="Q34" i="41"/>
  <c r="I8" i="41"/>
  <c r="Q32" i="41"/>
  <c r="E25" i="41"/>
  <c r="E36" i="41"/>
  <c r="M8" i="41"/>
  <c r="I29" i="41"/>
  <c r="I41" i="41"/>
  <c r="I36" i="41"/>
  <c r="M24" i="41"/>
  <c r="M7" i="41"/>
  <c r="M29" i="41"/>
  <c r="Q41" i="41"/>
  <c r="M36" i="41"/>
  <c r="I20" i="41"/>
  <c r="M20" i="41"/>
  <c r="Q25" i="41"/>
  <c r="E27" i="41"/>
  <c r="I38" i="41"/>
  <c r="I24" i="41"/>
  <c r="M38" i="41"/>
  <c r="Q24" i="41"/>
  <c r="E20" i="41"/>
  <c r="I11" i="41"/>
  <c r="M11" i="41"/>
  <c r="E9" i="41"/>
  <c r="E18" i="41"/>
  <c r="I9" i="41"/>
  <c r="I25" i="41"/>
  <c r="I18" i="41"/>
  <c r="M9" i="41"/>
  <c r="M18" i="41"/>
  <c r="E38" i="41"/>
  <c r="E30" i="41"/>
  <c r="E22" i="41"/>
  <c r="M17" i="41"/>
  <c r="E15" i="41"/>
  <c r="I30" i="41"/>
  <c r="I22" i="41"/>
  <c r="E17" i="41"/>
  <c r="I27" i="41"/>
  <c r="I15" i="41"/>
  <c r="M30" i="41"/>
  <c r="M22" i="41"/>
  <c r="I17" i="41"/>
  <c r="M27" i="41"/>
  <c r="M15" i="41"/>
  <c r="E4" i="41"/>
  <c r="Q4" i="41"/>
  <c r="M4" i="41"/>
  <c r="E10" i="41"/>
  <c r="E32" i="41"/>
  <c r="I45" i="41"/>
  <c r="M41" i="41"/>
  <c r="E35" i="41"/>
  <c r="E34" i="41"/>
  <c r="M5" i="41"/>
  <c r="M13" i="41"/>
  <c r="L3" i="41"/>
  <c r="I3" i="45" l="1"/>
  <c r="M3" i="45"/>
  <c r="H16" i="44" s="1"/>
  <c r="M3" i="41"/>
  <c r="P3" i="41"/>
  <c r="Q3" i="41"/>
  <c r="D3" i="41"/>
  <c r="E3" i="41"/>
  <c r="H3" i="41"/>
  <c r="I3" i="41"/>
  <c r="H16" i="42" l="1"/>
  <c r="I16" i="42" s="1"/>
  <c r="L16" i="42" s="1"/>
  <c r="D3" i="45"/>
  <c r="E3" i="45"/>
  <c r="F13" i="44" s="1"/>
  <c r="F13" i="42"/>
  <c r="I13" i="42" s="1"/>
  <c r="K10" i="28"/>
  <c r="G10" i="28"/>
  <c r="F10" i="28"/>
  <c r="F10" i="26"/>
  <c r="H17" i="42" l="1"/>
  <c r="F17" i="42"/>
  <c r="I13" i="44"/>
  <c r="F17" i="44"/>
  <c r="I16" i="44"/>
  <c r="L16" i="44" s="1"/>
  <c r="H17" i="44"/>
  <c r="I17" i="42"/>
  <c r="B7" i="42" s="1"/>
  <c r="B8" i="42" s="1"/>
  <c r="L13" i="42"/>
  <c r="L17" i="42" s="1"/>
  <c r="BA15" i="26"/>
  <c r="Y35" i="27"/>
  <c r="Y34" i="27"/>
  <c r="Y33" i="27"/>
  <c r="Y32" i="27"/>
  <c r="Y31" i="27"/>
  <c r="Y28" i="27"/>
  <c r="Y26" i="27"/>
  <c r="Y25" i="27"/>
  <c r="Y24" i="27"/>
  <c r="Y21" i="27"/>
  <c r="Y20" i="27"/>
  <c r="Y19" i="27"/>
  <c r="Y18" i="27"/>
  <c r="Y17" i="27"/>
  <c r="Y14" i="27"/>
  <c r="Y9" i="27"/>
  <c r="Y6" i="27"/>
  <c r="Y27" i="27"/>
  <c r="I17" i="44" l="1"/>
  <c r="B7" i="44" s="1"/>
  <c r="B8" i="44" s="1"/>
  <c r="L13" i="44"/>
  <c r="L17" i="44" s="1"/>
  <c r="J28" i="28"/>
  <c r="I28" i="28"/>
  <c r="H28" i="28"/>
  <c r="G28" i="28"/>
  <c r="F28" i="28"/>
  <c r="K99" i="40"/>
  <c r="J99" i="40"/>
  <c r="H99" i="40"/>
  <c r="F99" i="40"/>
  <c r="E99" i="40"/>
  <c r="C99" i="40"/>
  <c r="I98" i="40"/>
  <c r="D98" i="40"/>
  <c r="C98" i="40"/>
  <c r="I97" i="40"/>
  <c r="D97" i="40" s="1"/>
  <c r="C97" i="40"/>
  <c r="I96" i="40"/>
  <c r="D96" i="40"/>
  <c r="C96" i="40"/>
  <c r="I95" i="40"/>
  <c r="D95" i="40" s="1"/>
  <c r="C95" i="40"/>
  <c r="I94" i="40"/>
  <c r="D94" i="40"/>
  <c r="C94" i="40"/>
  <c r="I93" i="40"/>
  <c r="D93" i="40"/>
  <c r="C93" i="40"/>
  <c r="I92" i="40"/>
  <c r="D92" i="40"/>
  <c r="C92" i="40"/>
  <c r="I91" i="40"/>
  <c r="D91" i="40"/>
  <c r="C91" i="40"/>
  <c r="I90" i="40"/>
  <c r="D90" i="40" s="1"/>
  <c r="C90" i="40"/>
  <c r="I89" i="40"/>
  <c r="D89" i="40"/>
  <c r="C89" i="40"/>
  <c r="I88" i="40"/>
  <c r="D88" i="40"/>
  <c r="C88" i="40"/>
  <c r="I87" i="40"/>
  <c r="D87" i="40"/>
  <c r="C87" i="40"/>
  <c r="I86" i="40"/>
  <c r="D86" i="40"/>
  <c r="C86" i="40"/>
  <c r="I85" i="40"/>
  <c r="D85" i="40" s="1"/>
  <c r="C85" i="40"/>
  <c r="I84" i="40"/>
  <c r="D84" i="40"/>
  <c r="C84" i="40"/>
  <c r="I83" i="40"/>
  <c r="D83" i="40"/>
  <c r="C83" i="40"/>
  <c r="I82" i="40"/>
  <c r="D82" i="40"/>
  <c r="C82" i="40"/>
  <c r="I81" i="40"/>
  <c r="D81" i="40"/>
  <c r="C81" i="40"/>
  <c r="I80" i="40"/>
  <c r="D80" i="40"/>
  <c r="C80" i="40"/>
  <c r="I79" i="40"/>
  <c r="D79" i="40" s="1"/>
  <c r="C79" i="40"/>
  <c r="I78" i="40"/>
  <c r="D78" i="40"/>
  <c r="C78" i="40"/>
  <c r="I77" i="40"/>
  <c r="D77" i="40"/>
  <c r="C77" i="40"/>
  <c r="I76" i="40"/>
  <c r="D76" i="40"/>
  <c r="C76" i="40"/>
  <c r="I75" i="40"/>
  <c r="D75" i="40" s="1"/>
  <c r="C75" i="40"/>
  <c r="I74" i="40"/>
  <c r="D74" i="40"/>
  <c r="C74" i="40"/>
  <c r="I73" i="40"/>
  <c r="D73" i="40"/>
  <c r="C73" i="40"/>
  <c r="I72" i="40"/>
  <c r="D72" i="40"/>
  <c r="C72" i="40"/>
  <c r="I71" i="40"/>
  <c r="D71" i="40"/>
  <c r="C71" i="40"/>
  <c r="I70" i="40"/>
  <c r="D70" i="40"/>
  <c r="C70" i="40"/>
  <c r="I69" i="40"/>
  <c r="D69" i="40" s="1"/>
  <c r="C69" i="40"/>
  <c r="I68" i="40"/>
  <c r="D68" i="40"/>
  <c r="C68" i="40"/>
  <c r="I67" i="40"/>
  <c r="D67" i="40"/>
  <c r="C67" i="40"/>
  <c r="I66" i="40"/>
  <c r="D66" i="40"/>
  <c r="C66" i="40"/>
  <c r="I65" i="40"/>
  <c r="D65" i="40" s="1"/>
  <c r="C65" i="40"/>
  <c r="I64" i="40"/>
  <c r="D64" i="40"/>
  <c r="C64" i="40"/>
  <c r="I63" i="40"/>
  <c r="D63" i="40" s="1"/>
  <c r="C63" i="40"/>
  <c r="I62" i="40"/>
  <c r="D62" i="40"/>
  <c r="C62" i="40"/>
  <c r="I61" i="40"/>
  <c r="D61" i="40"/>
  <c r="C61" i="40"/>
  <c r="I60" i="40"/>
  <c r="D60" i="40"/>
  <c r="C60" i="40"/>
  <c r="I59" i="40"/>
  <c r="D59" i="40"/>
  <c r="C59" i="40"/>
  <c r="I58" i="40"/>
  <c r="D58" i="40" s="1"/>
  <c r="C58" i="40"/>
  <c r="I57" i="40"/>
  <c r="D57" i="40"/>
  <c r="C57" i="40"/>
  <c r="F43" i="28" s="1"/>
  <c r="I56" i="40"/>
  <c r="D56" i="40"/>
  <c r="C56" i="40"/>
  <c r="I55" i="40"/>
  <c r="D55" i="40"/>
  <c r="C55" i="40"/>
  <c r="I54" i="40"/>
  <c r="D54" i="40"/>
  <c r="C54" i="40"/>
  <c r="I53" i="40"/>
  <c r="D53" i="40" s="1"/>
  <c r="C53" i="40"/>
  <c r="I52" i="40"/>
  <c r="D52" i="40"/>
  <c r="C52" i="40"/>
  <c r="I51" i="40"/>
  <c r="D51" i="40"/>
  <c r="C51" i="40"/>
  <c r="I50" i="40"/>
  <c r="D50" i="40"/>
  <c r="C50" i="40"/>
  <c r="I49" i="40"/>
  <c r="D49" i="40"/>
  <c r="C49" i="40"/>
  <c r="I48" i="40"/>
  <c r="D48" i="40"/>
  <c r="C48" i="40"/>
  <c r="I47" i="40"/>
  <c r="D47" i="40" s="1"/>
  <c r="C47" i="40"/>
  <c r="I46" i="40"/>
  <c r="D46" i="40"/>
  <c r="C46" i="40"/>
  <c r="I45" i="40"/>
  <c r="D45" i="40" s="1"/>
  <c r="C45" i="40"/>
  <c r="I44" i="40"/>
  <c r="D44" i="40"/>
  <c r="C44" i="40"/>
  <c r="I43" i="40"/>
  <c r="D43" i="40"/>
  <c r="C43" i="40"/>
  <c r="I42" i="40"/>
  <c r="D42" i="40"/>
  <c r="C42" i="40"/>
  <c r="I41" i="40"/>
  <c r="D41" i="40"/>
  <c r="C41" i="40"/>
  <c r="I40" i="40"/>
  <c r="D40" i="40"/>
  <c r="C40" i="40"/>
  <c r="I39" i="40"/>
  <c r="D39" i="40"/>
  <c r="C39" i="40"/>
  <c r="I38" i="40"/>
  <c r="D38" i="40"/>
  <c r="C38" i="40"/>
  <c r="I37" i="40"/>
  <c r="D37" i="40" s="1"/>
  <c r="C37" i="40"/>
  <c r="I36" i="40"/>
  <c r="D36" i="40"/>
  <c r="C36" i="40"/>
  <c r="I35" i="40"/>
  <c r="D35" i="40"/>
  <c r="C35" i="40"/>
  <c r="I34" i="40"/>
  <c r="D34" i="40" s="1"/>
  <c r="C34" i="40"/>
  <c r="I33" i="40"/>
  <c r="D33" i="40"/>
  <c r="C33" i="40"/>
  <c r="I32" i="40"/>
  <c r="D32" i="40"/>
  <c r="C32" i="40"/>
  <c r="I31" i="40"/>
  <c r="D31" i="40" s="1"/>
  <c r="C31" i="40"/>
  <c r="I30" i="40"/>
  <c r="D30" i="40" s="1"/>
  <c r="C30" i="40"/>
  <c r="I29" i="40"/>
  <c r="D29" i="40"/>
  <c r="C29" i="40"/>
  <c r="I28" i="40"/>
  <c r="D28" i="40"/>
  <c r="C28" i="40"/>
  <c r="I27" i="40"/>
  <c r="D27" i="40"/>
  <c r="C27" i="40"/>
  <c r="I26" i="40"/>
  <c r="D26" i="40"/>
  <c r="C26" i="40"/>
  <c r="I25" i="40"/>
  <c r="D25" i="40"/>
  <c r="C25" i="40"/>
  <c r="I24" i="40"/>
  <c r="D24" i="40"/>
  <c r="C24" i="40"/>
  <c r="I23" i="40"/>
  <c r="D23" i="40" s="1"/>
  <c r="C23" i="40"/>
  <c r="I22" i="40"/>
  <c r="D22" i="40"/>
  <c r="C22" i="40"/>
  <c r="I21" i="40"/>
  <c r="D21" i="40" s="1"/>
  <c r="C21" i="40"/>
  <c r="I20" i="40"/>
  <c r="D20" i="40"/>
  <c r="C20" i="40"/>
  <c r="I19" i="40"/>
  <c r="D19" i="40" s="1"/>
  <c r="C19" i="40"/>
  <c r="I18" i="40"/>
  <c r="D18" i="40"/>
  <c r="C18" i="40"/>
  <c r="I17" i="40"/>
  <c r="D17" i="40"/>
  <c r="C17" i="40"/>
  <c r="I16" i="40"/>
  <c r="D16" i="40"/>
  <c r="C16" i="40"/>
  <c r="I15" i="40"/>
  <c r="D15" i="40" s="1"/>
  <c r="C15" i="40"/>
  <c r="I14" i="40"/>
  <c r="D14" i="40"/>
  <c r="C14" i="40"/>
  <c r="I13" i="40"/>
  <c r="D13" i="40"/>
  <c r="C13" i="40"/>
  <c r="I12" i="40"/>
  <c r="D12" i="40"/>
  <c r="C12" i="40"/>
  <c r="I11" i="40"/>
  <c r="D11" i="40"/>
  <c r="C11" i="40"/>
  <c r="I10" i="40"/>
  <c r="D10" i="40"/>
  <c r="C10" i="40"/>
  <c r="I9" i="40"/>
  <c r="D9" i="40"/>
  <c r="C9" i="40"/>
  <c r="I8" i="40"/>
  <c r="I99" i="40" s="1"/>
  <c r="D99" i="40" s="1"/>
  <c r="C8" i="40"/>
  <c r="F42" i="28"/>
  <c r="H42" i="28"/>
  <c r="J42" i="28"/>
  <c r="J43" i="28" l="1"/>
  <c r="H43" i="28"/>
  <c r="K43" i="28" s="1"/>
  <c r="D8" i="40"/>
  <c r="J44" i="28" s="1"/>
  <c r="F41" i="28"/>
  <c r="K42" i="28"/>
  <c r="J40" i="28"/>
  <c r="H41" i="28"/>
  <c r="F40" i="28"/>
  <c r="K44" i="28" l="1"/>
  <c r="J41" i="28"/>
  <c r="K40" i="28"/>
  <c r="H40" i="28"/>
  <c r="K41" i="28"/>
  <c r="G16" i="37"/>
  <c r="G7" i="37"/>
  <c r="B4" i="38" s="1" a="1"/>
  <c r="B4" i="38" s="1"/>
  <c r="O4" i="38" l="1" a="1"/>
  <c r="O4" i="38" s="1"/>
  <c r="B35" i="38"/>
  <c r="B19" i="38"/>
  <c r="B34" i="38"/>
  <c r="B18" i="38"/>
  <c r="B33" i="38"/>
  <c r="B17" i="38"/>
  <c r="B47" i="38"/>
  <c r="B32" i="38"/>
  <c r="B16" i="38"/>
  <c r="B30" i="38"/>
  <c r="B31" i="38"/>
  <c r="B15" i="38"/>
  <c r="B46" i="38"/>
  <c r="B14" i="38"/>
  <c r="B45" i="38"/>
  <c r="B29" i="38"/>
  <c r="B13" i="38"/>
  <c r="B44" i="38"/>
  <c r="B28" i="38"/>
  <c r="B12" i="38"/>
  <c r="B43" i="38"/>
  <c r="B27" i="38"/>
  <c r="B11" i="38"/>
  <c r="B42" i="38"/>
  <c r="B26" i="38"/>
  <c r="B10" i="38"/>
  <c r="B41" i="38"/>
  <c r="B25" i="38"/>
  <c r="B9" i="38"/>
  <c r="B40" i="38"/>
  <c r="B24" i="38"/>
  <c r="B8" i="38"/>
  <c r="B39" i="38"/>
  <c r="B23" i="38"/>
  <c r="B7" i="38"/>
  <c r="B38" i="38"/>
  <c r="B22" i="38"/>
  <c r="B6" i="38"/>
  <c r="B37" i="38"/>
  <c r="B21" i="38"/>
  <c r="B5" i="38"/>
  <c r="B36" i="38"/>
  <c r="B20" i="38"/>
  <c r="K17" i="37"/>
  <c r="J17" i="37"/>
  <c r="J8" i="37"/>
  <c r="F40" i="26"/>
  <c r="P40" i="26"/>
  <c r="Q40" i="26"/>
  <c r="R40" i="26"/>
  <c r="U40" i="26"/>
  <c r="V40" i="26"/>
  <c r="X40" i="26"/>
  <c r="AA40" i="26"/>
  <c r="AD40" i="26"/>
  <c r="AF40" i="26"/>
  <c r="AK40" i="26"/>
  <c r="AL40" i="26"/>
  <c r="AN40" i="26"/>
  <c r="AR40" i="26"/>
  <c r="AV40" i="26"/>
  <c r="AX40" i="26"/>
  <c r="F41" i="26"/>
  <c r="P41" i="26"/>
  <c r="Q41" i="26"/>
  <c r="R41" i="26"/>
  <c r="U41" i="26"/>
  <c r="V41" i="26"/>
  <c r="X41" i="26"/>
  <c r="AA41" i="26"/>
  <c r="AD41" i="26"/>
  <c r="AF41" i="26"/>
  <c r="AK41" i="26"/>
  <c r="AL41" i="26"/>
  <c r="AN41" i="26"/>
  <c r="AR41" i="26"/>
  <c r="AV41" i="26"/>
  <c r="AX41" i="26"/>
  <c r="BA41" i="26"/>
  <c r="BA40" i="26"/>
  <c r="F24" i="26"/>
  <c r="G24" i="26"/>
  <c r="H24" i="26"/>
  <c r="I24" i="26"/>
  <c r="J24" i="26"/>
  <c r="K24" i="26"/>
  <c r="L24" i="26"/>
  <c r="M24" i="26"/>
  <c r="N24" i="26"/>
  <c r="O24" i="26"/>
  <c r="P24" i="26"/>
  <c r="Q24" i="26"/>
  <c r="R24" i="26"/>
  <c r="S24" i="26"/>
  <c r="T24" i="26"/>
  <c r="U24" i="26"/>
  <c r="V24" i="26"/>
  <c r="W24" i="26"/>
  <c r="X24" i="26"/>
  <c r="Y24" i="26"/>
  <c r="Z24" i="26"/>
  <c r="AA24" i="26"/>
  <c r="AB24" i="26"/>
  <c r="AC24" i="26"/>
  <c r="AD24" i="26"/>
  <c r="AE24" i="26"/>
  <c r="AF24" i="26"/>
  <c r="AG24" i="26"/>
  <c r="AH24" i="26"/>
  <c r="AI24" i="26"/>
  <c r="AJ24" i="26"/>
  <c r="AK24" i="26"/>
  <c r="AL24" i="26"/>
  <c r="AM24" i="26"/>
  <c r="AN24" i="26"/>
  <c r="AO24" i="26"/>
  <c r="AP24" i="26"/>
  <c r="AQ24" i="26"/>
  <c r="AR24" i="26"/>
  <c r="AS24" i="26"/>
  <c r="AT24" i="26"/>
  <c r="AU24" i="26"/>
  <c r="AV24" i="26"/>
  <c r="AW24" i="26"/>
  <c r="AX24" i="26"/>
  <c r="AY24" i="26"/>
  <c r="AZ24" i="26"/>
  <c r="F29" i="26"/>
  <c r="F23" i="26" s="1"/>
  <c r="G29" i="26"/>
  <c r="G23" i="26" s="1"/>
  <c r="H29" i="26"/>
  <c r="H23" i="26" s="1"/>
  <c r="I29" i="26"/>
  <c r="I23" i="26" s="1"/>
  <c r="J29" i="26"/>
  <c r="J23" i="26" s="1"/>
  <c r="K29" i="26"/>
  <c r="K23" i="26" s="1"/>
  <c r="L29" i="26"/>
  <c r="L23" i="26" s="1"/>
  <c r="M29" i="26"/>
  <c r="M23" i="26" s="1"/>
  <c r="N29" i="26"/>
  <c r="N23" i="26" s="1"/>
  <c r="O29" i="26"/>
  <c r="O23" i="26" s="1"/>
  <c r="P29" i="26"/>
  <c r="P23" i="26" s="1"/>
  <c r="Q29" i="26"/>
  <c r="Q23" i="26" s="1"/>
  <c r="R29" i="26"/>
  <c r="R23" i="26" s="1"/>
  <c r="S29" i="26"/>
  <c r="S23" i="26" s="1"/>
  <c r="T29" i="26"/>
  <c r="T23" i="26" s="1"/>
  <c r="U29" i="26"/>
  <c r="U23" i="26" s="1"/>
  <c r="V29" i="26"/>
  <c r="V23" i="26" s="1"/>
  <c r="W29" i="26"/>
  <c r="W23" i="26" s="1"/>
  <c r="X29" i="26"/>
  <c r="X23" i="26" s="1"/>
  <c r="Y29" i="26"/>
  <c r="Y23" i="26" s="1"/>
  <c r="Z29" i="26"/>
  <c r="Z23" i="26" s="1"/>
  <c r="AA29" i="26"/>
  <c r="AA23" i="26" s="1"/>
  <c r="AB29" i="26"/>
  <c r="AB23" i="26" s="1"/>
  <c r="AC29" i="26"/>
  <c r="AC23" i="26" s="1"/>
  <c r="AD29" i="26"/>
  <c r="AD23" i="26" s="1"/>
  <c r="AE29" i="26"/>
  <c r="AE23" i="26" s="1"/>
  <c r="AF29" i="26"/>
  <c r="AF23" i="26" s="1"/>
  <c r="AG29" i="26"/>
  <c r="AG23" i="26" s="1"/>
  <c r="AH29" i="26"/>
  <c r="AH23" i="26" s="1"/>
  <c r="AI29" i="26"/>
  <c r="AI23" i="26" s="1"/>
  <c r="AJ29" i="26"/>
  <c r="AJ23" i="26" s="1"/>
  <c r="AK29" i="26"/>
  <c r="AK23" i="26" s="1"/>
  <c r="AL29" i="26"/>
  <c r="AL23" i="26" s="1"/>
  <c r="AM29" i="26"/>
  <c r="AM23" i="26" s="1"/>
  <c r="AN29" i="26"/>
  <c r="AN23" i="26" s="1"/>
  <c r="AO29" i="26"/>
  <c r="AO23" i="26" s="1"/>
  <c r="AP29" i="26"/>
  <c r="AP23" i="26" s="1"/>
  <c r="AQ29" i="26"/>
  <c r="AQ23" i="26" s="1"/>
  <c r="AR29" i="26"/>
  <c r="AR23" i="26" s="1"/>
  <c r="AS29" i="26"/>
  <c r="AS23" i="26" s="1"/>
  <c r="AT29" i="26"/>
  <c r="AT23" i="26" s="1"/>
  <c r="AU29" i="26"/>
  <c r="AU23" i="26" s="1"/>
  <c r="AV29" i="26"/>
  <c r="AV23" i="26" s="1"/>
  <c r="AW29" i="26"/>
  <c r="AW23" i="26" s="1"/>
  <c r="AX29" i="26"/>
  <c r="AX23" i="26" s="1"/>
  <c r="AY29" i="26"/>
  <c r="AY23" i="26" s="1"/>
  <c r="AY11" i="26" s="1"/>
  <c r="AZ29" i="26"/>
  <c r="AZ23" i="26" s="1"/>
  <c r="AZ11" i="26" s="1"/>
  <c r="BA48" i="26"/>
  <c r="V12" i="26"/>
  <c r="U12" i="26"/>
  <c r="R12" i="26"/>
  <c r="P12" i="26"/>
  <c r="F12" i="26"/>
  <c r="BA43" i="26"/>
  <c r="AX43" i="26"/>
  <c r="AV43" i="26"/>
  <c r="AR43" i="26"/>
  <c r="AN43" i="26"/>
  <c r="AL43" i="26"/>
  <c r="AK43" i="26"/>
  <c r="AF43" i="26"/>
  <c r="AD43" i="26"/>
  <c r="AA43" i="26"/>
  <c r="X43" i="26"/>
  <c r="V43" i="26"/>
  <c r="U43" i="26"/>
  <c r="R43" i="26"/>
  <c r="Q43" i="26"/>
  <c r="P43" i="26"/>
  <c r="F43" i="26"/>
  <c r="BA42" i="26"/>
  <c r="AX42" i="26"/>
  <c r="AV42" i="26"/>
  <c r="AR42" i="26"/>
  <c r="AN42" i="26"/>
  <c r="AL42" i="26"/>
  <c r="AK42" i="26"/>
  <c r="AF42" i="26"/>
  <c r="AD42" i="26"/>
  <c r="AA42" i="26"/>
  <c r="X42" i="26"/>
  <c r="V42" i="26"/>
  <c r="U42" i="26"/>
  <c r="R42" i="26"/>
  <c r="Q42" i="26"/>
  <c r="P42" i="26"/>
  <c r="F42" i="26"/>
  <c r="G7" i="13"/>
  <c r="B4" i="34" s="1" a="1"/>
  <c r="J8" i="13"/>
  <c r="F42" i="27"/>
  <c r="G42" i="27"/>
  <c r="H42" i="27"/>
  <c r="V42" i="27"/>
  <c r="I42" i="27"/>
  <c r="K42" i="27"/>
  <c r="J42" i="27"/>
  <c r="L42" i="27"/>
  <c r="M42" i="27"/>
  <c r="S42" i="27"/>
  <c r="N42" i="27"/>
  <c r="O42" i="27"/>
  <c r="P42" i="27"/>
  <c r="W42" i="27"/>
  <c r="R42" i="27"/>
  <c r="Q42" i="27"/>
  <c r="T42" i="27"/>
  <c r="U42" i="27"/>
  <c r="F43" i="27"/>
  <c r="G43" i="27"/>
  <c r="H43" i="27"/>
  <c r="V43" i="27"/>
  <c r="I43" i="27"/>
  <c r="K43" i="27"/>
  <c r="J43" i="27"/>
  <c r="L43" i="27"/>
  <c r="M43" i="27"/>
  <c r="S43" i="27"/>
  <c r="N43" i="27"/>
  <c r="O43" i="27"/>
  <c r="P43" i="27"/>
  <c r="W43" i="27"/>
  <c r="R43" i="27"/>
  <c r="Q43" i="27"/>
  <c r="T43" i="27"/>
  <c r="U43" i="27"/>
  <c r="Y44" i="27"/>
  <c r="Y45" i="27"/>
  <c r="Y46" i="27"/>
  <c r="F40" i="27"/>
  <c r="G40" i="27"/>
  <c r="H40" i="27"/>
  <c r="V40" i="27"/>
  <c r="I12" i="27"/>
  <c r="K12" i="27"/>
  <c r="J40" i="27"/>
  <c r="L41" i="27"/>
  <c r="M40" i="27"/>
  <c r="S12" i="27"/>
  <c r="N40" i="27"/>
  <c r="O40" i="27"/>
  <c r="P41" i="27"/>
  <c r="W40" i="27"/>
  <c r="R40" i="27"/>
  <c r="Q40" i="27"/>
  <c r="T40" i="27"/>
  <c r="U40" i="27"/>
  <c r="Y48" i="27"/>
  <c r="Y15" i="27"/>
  <c r="J17" i="13"/>
  <c r="K17" i="13"/>
  <c r="G16" i="13"/>
  <c r="Z11" i="27"/>
  <c r="Y11" i="27"/>
  <c r="W11" i="27"/>
  <c r="V11" i="27"/>
  <c r="E101" i="38" l="1"/>
  <c r="E97" i="38"/>
  <c r="E93" i="38"/>
  <c r="E89" i="38"/>
  <c r="E85" i="38"/>
  <c r="E81" i="38"/>
  <c r="E77" i="38"/>
  <c r="E73" i="38"/>
  <c r="E69" i="38"/>
  <c r="E65" i="38"/>
  <c r="E61" i="38"/>
  <c r="E57" i="38"/>
  <c r="E53" i="38"/>
  <c r="E49" i="38"/>
  <c r="Q96" i="38"/>
  <c r="Q92" i="38"/>
  <c r="Q84" i="38"/>
  <c r="Q80" i="38"/>
  <c r="Q76" i="38"/>
  <c r="Q72" i="38"/>
  <c r="Q64" i="38"/>
  <c r="Q60" i="38"/>
  <c r="Q56" i="38"/>
  <c r="Q52" i="38"/>
  <c r="Q48" i="38"/>
  <c r="M76" i="38"/>
  <c r="M64" i="38"/>
  <c r="M56" i="38"/>
  <c r="M48" i="38"/>
  <c r="I100" i="38"/>
  <c r="I96" i="38"/>
  <c r="I88" i="38"/>
  <c r="I80" i="38"/>
  <c r="I72" i="38"/>
  <c r="I64" i="38"/>
  <c r="I56" i="38"/>
  <c r="I48" i="38"/>
  <c r="E100" i="38"/>
  <c r="E92" i="38"/>
  <c r="E84" i="38"/>
  <c r="E76" i="38"/>
  <c r="E68" i="38"/>
  <c r="E60" i="38"/>
  <c r="E52" i="38"/>
  <c r="Q103" i="38"/>
  <c r="Q91" i="38"/>
  <c r="Q79" i="38"/>
  <c r="Q71" i="38"/>
  <c r="Q63" i="38"/>
  <c r="Q55" i="38"/>
  <c r="I103" i="38"/>
  <c r="I99" i="38"/>
  <c r="I95" i="38"/>
  <c r="I91" i="38"/>
  <c r="I87" i="38"/>
  <c r="I83" i="38"/>
  <c r="I79" i="38"/>
  <c r="I75" i="38"/>
  <c r="I71" i="38"/>
  <c r="I67" i="38"/>
  <c r="I63" i="38"/>
  <c r="I59" i="38"/>
  <c r="I55" i="38"/>
  <c r="I51" i="38"/>
  <c r="E103" i="38"/>
  <c r="E99" i="38"/>
  <c r="E95" i="38"/>
  <c r="E91" i="38"/>
  <c r="E87" i="38"/>
  <c r="E83" i="38"/>
  <c r="E79" i="38"/>
  <c r="E75" i="38"/>
  <c r="E71" i="38"/>
  <c r="E67" i="38"/>
  <c r="E63" i="38"/>
  <c r="E59" i="38"/>
  <c r="E55" i="38"/>
  <c r="E51" i="38"/>
  <c r="Q102" i="38"/>
  <c r="Q98" i="38"/>
  <c r="Q94" i="38"/>
  <c r="Q90" i="38"/>
  <c r="Q86" i="38"/>
  <c r="Q82" i="38"/>
  <c r="Q78" i="38"/>
  <c r="Q100" i="38"/>
  <c r="Q88" i="38"/>
  <c r="Q68" i="38"/>
  <c r="M100" i="38"/>
  <c r="M96" i="38"/>
  <c r="M92" i="38"/>
  <c r="M88" i="38"/>
  <c r="M84" i="38"/>
  <c r="M80" i="38"/>
  <c r="M72" i="38"/>
  <c r="M68" i="38"/>
  <c r="M60" i="38"/>
  <c r="M52" i="38"/>
  <c r="I92" i="38"/>
  <c r="I84" i="38"/>
  <c r="I76" i="38"/>
  <c r="I68" i="38"/>
  <c r="I60" i="38"/>
  <c r="I52" i="38"/>
  <c r="E96" i="38"/>
  <c r="E88" i="38"/>
  <c r="E80" i="38"/>
  <c r="E72" i="38"/>
  <c r="E64" i="38"/>
  <c r="E56" i="38"/>
  <c r="E48" i="38"/>
  <c r="Q99" i="38"/>
  <c r="Q95" i="38"/>
  <c r="Q87" i="38"/>
  <c r="Q83" i="38"/>
  <c r="Q75" i="38"/>
  <c r="Q67" i="38"/>
  <c r="Q59" i="38"/>
  <c r="Q51" i="38"/>
  <c r="M103" i="38"/>
  <c r="M99" i="38"/>
  <c r="M95" i="38"/>
  <c r="M91" i="38"/>
  <c r="M87" i="38"/>
  <c r="M83" i="38"/>
  <c r="M79" i="38"/>
  <c r="M75" i="38"/>
  <c r="M71" i="38"/>
  <c r="M67" i="38"/>
  <c r="M63" i="38"/>
  <c r="M59" i="38"/>
  <c r="M55" i="38"/>
  <c r="M51" i="38"/>
  <c r="M94" i="38"/>
  <c r="M85" i="38"/>
  <c r="I74" i="38"/>
  <c r="Q65" i="38"/>
  <c r="I57" i="38"/>
  <c r="I94" i="38"/>
  <c r="I85" i="38"/>
  <c r="E74" i="38"/>
  <c r="M65" i="38"/>
  <c r="Q54" i="38"/>
  <c r="E94" i="38"/>
  <c r="M82" i="38"/>
  <c r="Q73" i="38"/>
  <c r="I65" i="38"/>
  <c r="M54" i="38"/>
  <c r="Q93" i="38"/>
  <c r="I82" i="38"/>
  <c r="M73" i="38"/>
  <c r="Q62" i="38"/>
  <c r="I54" i="38"/>
  <c r="M102" i="38"/>
  <c r="M93" i="38"/>
  <c r="E82" i="38"/>
  <c r="I73" i="38"/>
  <c r="M62" i="38"/>
  <c r="E54" i="38"/>
  <c r="I102" i="38"/>
  <c r="I93" i="38"/>
  <c r="Q81" i="38"/>
  <c r="Q70" i="38"/>
  <c r="I62" i="38"/>
  <c r="Q53" i="38"/>
  <c r="E102" i="38"/>
  <c r="M90" i="38"/>
  <c r="M81" i="38"/>
  <c r="M70" i="38"/>
  <c r="E62" i="38"/>
  <c r="M53" i="38"/>
  <c r="Q101" i="38"/>
  <c r="I90" i="38"/>
  <c r="I81" i="38"/>
  <c r="I70" i="38"/>
  <c r="Q61" i="38"/>
  <c r="I53" i="38"/>
  <c r="M101" i="38"/>
  <c r="E90" i="38"/>
  <c r="M78" i="38"/>
  <c r="E70" i="38"/>
  <c r="M61" i="38"/>
  <c r="Q50" i="38"/>
  <c r="I101" i="38"/>
  <c r="Q89" i="38"/>
  <c r="I78" i="38"/>
  <c r="Q69" i="38"/>
  <c r="I61" i="38"/>
  <c r="M50" i="38"/>
  <c r="M98" i="38"/>
  <c r="M89" i="38"/>
  <c r="E78" i="38"/>
  <c r="M69" i="38"/>
  <c r="Q58" i="38"/>
  <c r="I50" i="38"/>
  <c r="I98" i="38"/>
  <c r="I89" i="38"/>
  <c r="Q77" i="38"/>
  <c r="I69" i="38"/>
  <c r="M58" i="38"/>
  <c r="E50" i="38"/>
  <c r="E98" i="38"/>
  <c r="M86" i="38"/>
  <c r="M77" i="38"/>
  <c r="Q66" i="38"/>
  <c r="I58" i="38"/>
  <c r="Q49" i="38"/>
  <c r="Q97" i="38"/>
  <c r="I86" i="38"/>
  <c r="I77" i="38"/>
  <c r="M66" i="38"/>
  <c r="E58" i="38"/>
  <c r="M49" i="38"/>
  <c r="M97" i="38"/>
  <c r="E86" i="38"/>
  <c r="Q74" i="38"/>
  <c r="I66" i="38"/>
  <c r="Q57" i="38"/>
  <c r="I97" i="38"/>
  <c r="Q85" i="38"/>
  <c r="M74" i="38"/>
  <c r="E66" i="38"/>
  <c r="M57" i="38"/>
  <c r="I49" i="38"/>
  <c r="P4" i="38" a="1"/>
  <c r="O3" i="38"/>
  <c r="M45" i="38"/>
  <c r="I45" i="38"/>
  <c r="E45" i="38"/>
  <c r="Q45" i="38"/>
  <c r="E46" i="38"/>
  <c r="Q46" i="38"/>
  <c r="M46" i="38"/>
  <c r="I46" i="38"/>
  <c r="M47" i="38"/>
  <c r="I47" i="38"/>
  <c r="E47" i="38"/>
  <c r="Q47" i="38"/>
  <c r="B4" i="34"/>
  <c r="B32" i="34"/>
  <c r="B43" i="34"/>
  <c r="B25" i="34"/>
  <c r="B10" i="34"/>
  <c r="B15" i="34"/>
  <c r="B9" i="34"/>
  <c r="B42" i="34"/>
  <c r="B40" i="34"/>
  <c r="B30" i="34"/>
  <c r="B14" i="34"/>
  <c r="B8" i="34"/>
  <c r="B29" i="34"/>
  <c r="B35" i="34"/>
  <c r="B39" i="34"/>
  <c r="B28" i="34"/>
  <c r="B13" i="34"/>
  <c r="B23" i="34"/>
  <c r="B27" i="34"/>
  <c r="B34" i="34"/>
  <c r="B7" i="34"/>
  <c r="B26" i="34"/>
  <c r="B12" i="34"/>
  <c r="B38" i="34"/>
  <c r="B47" i="34"/>
  <c r="B33" i="34"/>
  <c r="B22" i="34"/>
  <c r="B19" i="34"/>
  <c r="B11" i="34"/>
  <c r="B36" i="34"/>
  <c r="B46" i="34"/>
  <c r="B24" i="34"/>
  <c r="B20" i="34"/>
  <c r="B18" i="34"/>
  <c r="B6" i="34"/>
  <c r="B45" i="34"/>
  <c r="B37" i="34"/>
  <c r="B17" i="34"/>
  <c r="B21" i="34"/>
  <c r="B44" i="34"/>
  <c r="B5" i="34"/>
  <c r="B16" i="34"/>
  <c r="B41" i="34"/>
  <c r="B31" i="34"/>
  <c r="O4" i="34" a="1"/>
  <c r="O4" i="34" s="1"/>
  <c r="P4" i="34" s="1" a="1"/>
  <c r="P4" i="34" s="1"/>
  <c r="P3" i="34" s="1"/>
  <c r="G17" i="37"/>
  <c r="AF12" i="26"/>
  <c r="AK12" i="26"/>
  <c r="AL12" i="26"/>
  <c r="AN12" i="26"/>
  <c r="BA12" i="26"/>
  <c r="AA12" i="26"/>
  <c r="X12" i="26"/>
  <c r="Q12" i="26"/>
  <c r="AR12" i="26"/>
  <c r="AV12" i="26"/>
  <c r="AD12" i="26"/>
  <c r="AX12" i="26"/>
  <c r="G17" i="13"/>
  <c r="Q12" i="27"/>
  <c r="D15" i="13" s="1"/>
  <c r="E15" i="13" s="1"/>
  <c r="N3" i="34" s="1"/>
  <c r="U12" i="27"/>
  <c r="Y43" i="27"/>
  <c r="T12" i="27"/>
  <c r="W12" i="27"/>
  <c r="O41" i="27"/>
  <c r="N41" i="27"/>
  <c r="R12" i="27"/>
  <c r="R41" i="27"/>
  <c r="W41" i="27"/>
  <c r="S41" i="27"/>
  <c r="M41" i="27"/>
  <c r="M12" i="27"/>
  <c r="J41" i="27"/>
  <c r="L12" i="27"/>
  <c r="K41" i="27"/>
  <c r="J12" i="27"/>
  <c r="I41" i="27"/>
  <c r="V12" i="27"/>
  <c r="V41" i="27"/>
  <c r="H12" i="27"/>
  <c r="H41" i="27"/>
  <c r="G12" i="27"/>
  <c r="G41" i="27"/>
  <c r="F12" i="27"/>
  <c r="F41" i="27"/>
  <c r="U41" i="27"/>
  <c r="T41" i="27"/>
  <c r="Q41" i="27"/>
  <c r="S40" i="27"/>
  <c r="Y42" i="27"/>
  <c r="P40" i="27"/>
  <c r="L40" i="27"/>
  <c r="K40" i="27"/>
  <c r="Y47" i="27"/>
  <c r="I40" i="27"/>
  <c r="P12" i="27"/>
  <c r="O12" i="27"/>
  <c r="N12" i="27"/>
  <c r="P4" i="38" l="1"/>
  <c r="Q4" i="38" s="1"/>
  <c r="Q43" i="38"/>
  <c r="Q9" i="38"/>
  <c r="Q30" i="38"/>
  <c r="Q32" i="38"/>
  <c r="Q34" i="38"/>
  <c r="Q24" i="38"/>
  <c r="Q18" i="38"/>
  <c r="Q40" i="38"/>
  <c r="Q29" i="38"/>
  <c r="Q42" i="38"/>
  <c r="Q14" i="38"/>
  <c r="Q22" i="38"/>
  <c r="Q31" i="38"/>
  <c r="Q26" i="38"/>
  <c r="Q28" i="38"/>
  <c r="Q8" i="38"/>
  <c r="Q44" i="38"/>
  <c r="Q13" i="38"/>
  <c r="Q36" i="38"/>
  <c r="Q20" i="38"/>
  <c r="Q27" i="38"/>
  <c r="Q19" i="38"/>
  <c r="Q15" i="38"/>
  <c r="Q35" i="38"/>
  <c r="Q33" i="38"/>
  <c r="Q16" i="38"/>
  <c r="Q12" i="38"/>
  <c r="Q23" i="38"/>
  <c r="Q17" i="38"/>
  <c r="Q39" i="38"/>
  <c r="D15" i="37"/>
  <c r="E15" i="37" s="1"/>
  <c r="Q7" i="38"/>
  <c r="Q5" i="38"/>
  <c r="Q10" i="38"/>
  <c r="Q25" i="38"/>
  <c r="Q37" i="38"/>
  <c r="Q38" i="38"/>
  <c r="Q11" i="38"/>
  <c r="Q21" i="38"/>
  <c r="Q41" i="38"/>
  <c r="Q6" i="38"/>
  <c r="P3" i="38"/>
  <c r="F15" i="13"/>
  <c r="I15" i="13" s="1"/>
  <c r="K4" i="34" a="1"/>
  <c r="Y12" i="27"/>
  <c r="Y40" i="27"/>
  <c r="Y41" i="27"/>
  <c r="L15" i="13" l="1"/>
  <c r="N3" i="38"/>
  <c r="K4" i="38" a="1"/>
  <c r="K4" i="38" s="1"/>
  <c r="Q3" i="38"/>
  <c r="H16" i="37" s="1"/>
  <c r="K4" i="34"/>
  <c r="L4" i="34" s="1" a="1"/>
  <c r="L4" i="34" s="1"/>
  <c r="Q52" i="34"/>
  <c r="Q54" i="34"/>
  <c r="Q68" i="34"/>
  <c r="Q91" i="34"/>
  <c r="Q69" i="34"/>
  <c r="Q79" i="34"/>
  <c r="Q77" i="34"/>
  <c r="Q78" i="34"/>
  <c r="Q66" i="34"/>
  <c r="Q76" i="34"/>
  <c r="Q73" i="34"/>
  <c r="Q80" i="34"/>
  <c r="Q65" i="34"/>
  <c r="Q93" i="34"/>
  <c r="Q51" i="34"/>
  <c r="Q57" i="34"/>
  <c r="Q61" i="34"/>
  <c r="Q96" i="34"/>
  <c r="Q81" i="34"/>
  <c r="Q63" i="34"/>
  <c r="Q86" i="34"/>
  <c r="Q75" i="34"/>
  <c r="Q99" i="34"/>
  <c r="Q62" i="34"/>
  <c r="Q84" i="34"/>
  <c r="Q70" i="34"/>
  <c r="Q50" i="34"/>
  <c r="Q58" i="34"/>
  <c r="Q4" i="34"/>
  <c r="Q48" i="34"/>
  <c r="Q97" i="34"/>
  <c r="Q82" i="34"/>
  <c r="Q67" i="34"/>
  <c r="Q83" i="34"/>
  <c r="Q102" i="34"/>
  <c r="Q95" i="34"/>
  <c r="Q49" i="34"/>
  <c r="Q74" i="34"/>
  <c r="Q90" i="34"/>
  <c r="Q60" i="34"/>
  <c r="Q88" i="34"/>
  <c r="Q94" i="34"/>
  <c r="Q59" i="34"/>
  <c r="Q87" i="34"/>
  <c r="Q55" i="34"/>
  <c r="Q53" i="34"/>
  <c r="Q72" i="34"/>
  <c r="Q100" i="34"/>
  <c r="Q89" i="34"/>
  <c r="Q64" i="34"/>
  <c r="Q101" i="34"/>
  <c r="Q98" i="34"/>
  <c r="Q103" i="34"/>
  <c r="Q85" i="34"/>
  <c r="Q92" i="34"/>
  <c r="Q71" i="34"/>
  <c r="Q56" i="34"/>
  <c r="O3" i="34"/>
  <c r="L4" i="38" l="1" a="1"/>
  <c r="M27" i="38" s="1"/>
  <c r="K3" i="38"/>
  <c r="F15" i="37"/>
  <c r="I15" i="37" s="1"/>
  <c r="L15" i="37" s="1"/>
  <c r="M4" i="34"/>
  <c r="K3" i="34"/>
  <c r="M103" i="34"/>
  <c r="M62" i="34"/>
  <c r="M66" i="34"/>
  <c r="M102" i="34"/>
  <c r="M71" i="34"/>
  <c r="M86" i="34"/>
  <c r="M93" i="34"/>
  <c r="M67" i="34"/>
  <c r="M96" i="34"/>
  <c r="M70" i="34"/>
  <c r="M63" i="34"/>
  <c r="M99" i="34"/>
  <c r="M68" i="34"/>
  <c r="M101" i="34"/>
  <c r="M87" i="34"/>
  <c r="M52" i="34"/>
  <c r="M72" i="34"/>
  <c r="M48" i="34"/>
  <c r="M50" i="34"/>
  <c r="M100" i="34"/>
  <c r="M55" i="34"/>
  <c r="M90" i="34"/>
  <c r="M60" i="34"/>
  <c r="M79" i="34"/>
  <c r="M64" i="34"/>
  <c r="M73" i="34"/>
  <c r="M89" i="34"/>
  <c r="M54" i="34"/>
  <c r="M51" i="34"/>
  <c r="M59" i="34"/>
  <c r="M57" i="34"/>
  <c r="M77" i="34"/>
  <c r="M84" i="34"/>
  <c r="M49" i="34"/>
  <c r="M95" i="34"/>
  <c r="M82" i="34"/>
  <c r="M81" i="34"/>
  <c r="M85" i="34"/>
  <c r="M61" i="34"/>
  <c r="M88" i="34"/>
  <c r="M56" i="34"/>
  <c r="M74" i="34"/>
  <c r="M78" i="34"/>
  <c r="M58" i="34"/>
  <c r="M94" i="34"/>
  <c r="M75" i="34"/>
  <c r="M98" i="34"/>
  <c r="M76" i="34"/>
  <c r="M97" i="34"/>
  <c r="M83" i="34"/>
  <c r="M53" i="34"/>
  <c r="M69" i="34"/>
  <c r="M92" i="34"/>
  <c r="M80" i="34"/>
  <c r="M91" i="34"/>
  <c r="M65" i="34"/>
  <c r="M33" i="38" l="1"/>
  <c r="M7" i="38"/>
  <c r="M35" i="38"/>
  <c r="M36" i="38"/>
  <c r="M31" i="38"/>
  <c r="M30" i="38"/>
  <c r="M25" i="38"/>
  <c r="M39" i="38"/>
  <c r="M11" i="38"/>
  <c r="M42" i="38"/>
  <c r="M10" i="38"/>
  <c r="M38" i="38"/>
  <c r="M22" i="38"/>
  <c r="M12" i="38"/>
  <c r="L4" i="38"/>
  <c r="M40" i="38"/>
  <c r="M6" i="38"/>
  <c r="M15" i="38"/>
  <c r="M41" i="38"/>
  <c r="M37" i="38"/>
  <c r="M16" i="38"/>
  <c r="M32" i="38"/>
  <c r="M21" i="38"/>
  <c r="M19" i="38"/>
  <c r="M43" i="38"/>
  <c r="M17" i="38"/>
  <c r="M14" i="38"/>
  <c r="M26" i="38"/>
  <c r="M29" i="38"/>
  <c r="M18" i="38"/>
  <c r="M13" i="38"/>
  <c r="M8" i="38"/>
  <c r="M5" i="38"/>
  <c r="M28" i="38"/>
  <c r="M34" i="38"/>
  <c r="M24" i="38"/>
  <c r="M23" i="38"/>
  <c r="M44" i="38"/>
  <c r="M9" i="38"/>
  <c r="M20" i="38"/>
  <c r="L3" i="34"/>
  <c r="M4" i="38" l="1"/>
  <c r="M3" i="38" s="1"/>
  <c r="L3" i="38"/>
  <c r="K444" i="32" l="1"/>
  <c r="J444" i="32"/>
  <c r="H444" i="32"/>
  <c r="F444" i="32"/>
  <c r="E444" i="32"/>
  <c r="I443" i="32"/>
  <c r="D443" i="32"/>
  <c r="C443" i="32"/>
  <c r="I442" i="32"/>
  <c r="D442" i="32"/>
  <c r="C442" i="32"/>
  <c r="I441" i="32"/>
  <c r="D441" i="32"/>
  <c r="C441" i="32"/>
  <c r="I440" i="32"/>
  <c r="D440" i="32"/>
  <c r="C440" i="32"/>
  <c r="I439" i="32"/>
  <c r="D439" i="32" s="1"/>
  <c r="C439" i="32"/>
  <c r="I438" i="32"/>
  <c r="D438" i="32" s="1"/>
  <c r="C438" i="32"/>
  <c r="I437" i="32"/>
  <c r="D437" i="32"/>
  <c r="C437" i="32"/>
  <c r="I436" i="32"/>
  <c r="D436" i="32"/>
  <c r="C436" i="32"/>
  <c r="I435" i="32"/>
  <c r="D435" i="32" s="1"/>
  <c r="C435" i="32"/>
  <c r="I434" i="32"/>
  <c r="D434" i="32" s="1"/>
  <c r="C434" i="32"/>
  <c r="I433" i="32"/>
  <c r="D433" i="32" s="1"/>
  <c r="C433" i="32"/>
  <c r="I432" i="32"/>
  <c r="D432" i="32" s="1"/>
  <c r="C432" i="32"/>
  <c r="I431" i="32"/>
  <c r="D431" i="32"/>
  <c r="C431" i="32"/>
  <c r="I430" i="32"/>
  <c r="D430" i="32" s="1"/>
  <c r="C430" i="32"/>
  <c r="I429" i="32"/>
  <c r="D429" i="32" s="1"/>
  <c r="C429" i="32"/>
  <c r="I428" i="32"/>
  <c r="D428" i="32" s="1"/>
  <c r="C428" i="32"/>
  <c r="I427" i="32"/>
  <c r="D427" i="32"/>
  <c r="C427" i="32"/>
  <c r="I426" i="32"/>
  <c r="D426" i="32"/>
  <c r="C426" i="32"/>
  <c r="I425" i="32"/>
  <c r="D425" i="32"/>
  <c r="C425" i="32"/>
  <c r="I424" i="32"/>
  <c r="D424" i="32"/>
  <c r="C424" i="32"/>
  <c r="I423" i="32"/>
  <c r="D423" i="32"/>
  <c r="C423" i="32"/>
  <c r="I422" i="32"/>
  <c r="D422" i="32" s="1"/>
  <c r="C422" i="32"/>
  <c r="I421" i="32"/>
  <c r="D421" i="32" s="1"/>
  <c r="C421" i="32"/>
  <c r="I420" i="32"/>
  <c r="D420" i="32" s="1"/>
  <c r="C420" i="32"/>
  <c r="I419" i="32"/>
  <c r="D419" i="32"/>
  <c r="C419" i="32"/>
  <c r="I418" i="32"/>
  <c r="D418" i="32"/>
  <c r="C418" i="32"/>
  <c r="I417" i="32"/>
  <c r="D417" i="32"/>
  <c r="C417" i="32"/>
  <c r="I416" i="32"/>
  <c r="D416" i="32" s="1"/>
  <c r="C416" i="32"/>
  <c r="I415" i="32"/>
  <c r="D415" i="32" s="1"/>
  <c r="C415" i="32"/>
  <c r="I414" i="32"/>
  <c r="D414" i="32" s="1"/>
  <c r="C414" i="32"/>
  <c r="I413" i="32"/>
  <c r="D413" i="32" s="1"/>
  <c r="C413" i="32"/>
  <c r="I412" i="32"/>
  <c r="D412" i="32"/>
  <c r="C412" i="32"/>
  <c r="I411" i="32"/>
  <c r="D411" i="32"/>
  <c r="C411" i="32"/>
  <c r="I410" i="32"/>
  <c r="D410" i="32" s="1"/>
  <c r="C410" i="32"/>
  <c r="I409" i="32"/>
  <c r="D409" i="32" s="1"/>
  <c r="C409" i="32"/>
  <c r="I408" i="32"/>
  <c r="D408" i="32" s="1"/>
  <c r="C408" i="32"/>
  <c r="I407" i="32"/>
  <c r="D407" i="32"/>
  <c r="C407" i="32"/>
  <c r="I406" i="32"/>
  <c r="D406" i="32" s="1"/>
  <c r="C406" i="32"/>
  <c r="I405" i="32"/>
  <c r="D405" i="32" s="1"/>
  <c r="C405" i="32"/>
  <c r="I404" i="32"/>
  <c r="D404" i="32"/>
  <c r="C404" i="32"/>
  <c r="I403" i="32"/>
  <c r="D403" i="32" s="1"/>
  <c r="C403" i="32"/>
  <c r="I402" i="32"/>
  <c r="D402" i="32" s="1"/>
  <c r="C402" i="32"/>
  <c r="I401" i="32"/>
  <c r="D401" i="32"/>
  <c r="C401" i="32"/>
  <c r="I400" i="32"/>
  <c r="D400" i="32"/>
  <c r="C400" i="32"/>
  <c r="I399" i="32"/>
  <c r="D399" i="32" s="1"/>
  <c r="C399" i="32"/>
  <c r="I398" i="32"/>
  <c r="D398" i="32" s="1"/>
  <c r="C398" i="32"/>
  <c r="I397" i="32"/>
  <c r="D397" i="32" s="1"/>
  <c r="C397" i="32"/>
  <c r="I396" i="32"/>
  <c r="D396" i="32"/>
  <c r="C396" i="32"/>
  <c r="I395" i="32"/>
  <c r="D395" i="32" s="1"/>
  <c r="C395" i="32"/>
  <c r="I394" i="32"/>
  <c r="D394" i="32"/>
  <c r="C394" i="32"/>
  <c r="I393" i="32"/>
  <c r="D393" i="32" s="1"/>
  <c r="C393" i="32"/>
  <c r="I392" i="32"/>
  <c r="D392" i="32"/>
  <c r="C392" i="32"/>
  <c r="I391" i="32"/>
  <c r="D391" i="32" s="1"/>
  <c r="C391" i="32"/>
  <c r="I390" i="32"/>
  <c r="D390" i="32" s="1"/>
  <c r="C390" i="32"/>
  <c r="I389" i="32"/>
  <c r="D389" i="32"/>
  <c r="C389" i="32"/>
  <c r="I388" i="32"/>
  <c r="D388" i="32"/>
  <c r="C388" i="32"/>
  <c r="I387" i="32"/>
  <c r="D387" i="32"/>
  <c r="C387" i="32"/>
  <c r="I386" i="32"/>
  <c r="D386" i="32"/>
  <c r="C386" i="32"/>
  <c r="I385" i="32"/>
  <c r="D385" i="32"/>
  <c r="C385" i="32"/>
  <c r="I384" i="32"/>
  <c r="D384" i="32" s="1"/>
  <c r="C384" i="32"/>
  <c r="I383" i="32"/>
  <c r="D383" i="32"/>
  <c r="C383" i="32"/>
  <c r="I382" i="32"/>
  <c r="D382" i="32" s="1"/>
  <c r="C382" i="32"/>
  <c r="I381" i="32"/>
  <c r="D381" i="32" s="1"/>
  <c r="C381" i="32"/>
  <c r="I380" i="32"/>
  <c r="D380" i="32"/>
  <c r="C380" i="32"/>
  <c r="I379" i="32"/>
  <c r="D379" i="32"/>
  <c r="C379" i="32"/>
  <c r="I378" i="32"/>
  <c r="D378" i="32" s="1"/>
  <c r="C378" i="32"/>
  <c r="I377" i="32"/>
  <c r="D377" i="32"/>
  <c r="C377" i="32"/>
  <c r="I376" i="32"/>
  <c r="D376" i="32"/>
  <c r="C376" i="32"/>
  <c r="I375" i="32"/>
  <c r="D375" i="32"/>
  <c r="C375" i="32"/>
  <c r="I374" i="32"/>
  <c r="D374" i="32"/>
  <c r="C374" i="32"/>
  <c r="I373" i="32"/>
  <c r="D373" i="32"/>
  <c r="C373" i="32"/>
  <c r="I372" i="32"/>
  <c r="D372" i="32"/>
  <c r="C372" i="32"/>
  <c r="I371" i="32"/>
  <c r="D371" i="32" s="1"/>
  <c r="C371" i="32"/>
  <c r="I370" i="32"/>
  <c r="D370" i="32" s="1"/>
  <c r="C370" i="32"/>
  <c r="I369" i="32"/>
  <c r="D369" i="32"/>
  <c r="C369" i="32"/>
  <c r="I368" i="32"/>
  <c r="D368" i="32"/>
  <c r="C368" i="32"/>
  <c r="I367" i="32"/>
  <c r="D367" i="32" s="1"/>
  <c r="C367" i="32"/>
  <c r="I366" i="32"/>
  <c r="D366" i="32" s="1"/>
  <c r="C366" i="32"/>
  <c r="I365" i="32"/>
  <c r="D365" i="32" s="1"/>
  <c r="C365" i="32"/>
  <c r="I364" i="32"/>
  <c r="D364" i="32"/>
  <c r="C364" i="32"/>
  <c r="I363" i="32"/>
  <c r="D363" i="32"/>
  <c r="C363" i="32"/>
  <c r="I362" i="32"/>
  <c r="D362" i="32"/>
  <c r="C362" i="32"/>
  <c r="I361" i="32"/>
  <c r="D361" i="32" s="1"/>
  <c r="C361" i="32"/>
  <c r="I360" i="32"/>
  <c r="D360" i="32" s="1"/>
  <c r="C360" i="32"/>
  <c r="I359" i="32"/>
  <c r="D359" i="32"/>
  <c r="C359" i="32"/>
  <c r="I358" i="32"/>
  <c r="D358" i="32" s="1"/>
  <c r="C358" i="32"/>
  <c r="I357" i="32"/>
  <c r="D357" i="32"/>
  <c r="C357" i="32"/>
  <c r="I356" i="32"/>
  <c r="D356" i="32"/>
  <c r="C356" i="32"/>
  <c r="I355" i="32"/>
  <c r="D355" i="32" s="1"/>
  <c r="C355" i="32"/>
  <c r="I354" i="32"/>
  <c r="D354" i="32" s="1"/>
  <c r="C354" i="32"/>
  <c r="I353" i="32"/>
  <c r="D353" i="32" s="1"/>
  <c r="C353" i="32"/>
  <c r="I352" i="32"/>
  <c r="D352" i="32"/>
  <c r="C352" i="32"/>
  <c r="I351" i="32"/>
  <c r="D351" i="32"/>
  <c r="C351" i="32"/>
  <c r="I350" i="32"/>
  <c r="D350" i="32" s="1"/>
  <c r="C350" i="32"/>
  <c r="I349" i="32"/>
  <c r="D349" i="32" s="1"/>
  <c r="C349" i="32"/>
  <c r="I348" i="32"/>
  <c r="D348" i="32"/>
  <c r="C348" i="32"/>
  <c r="I347" i="32"/>
  <c r="D347" i="32" s="1"/>
  <c r="C347" i="32"/>
  <c r="I346" i="32"/>
  <c r="D346" i="32"/>
  <c r="C346" i="32"/>
  <c r="I345" i="32"/>
  <c r="D345" i="32"/>
  <c r="C345" i="32"/>
  <c r="I344" i="32"/>
  <c r="D344" i="32" s="1"/>
  <c r="C344" i="32"/>
  <c r="I343" i="32"/>
  <c r="D343" i="32"/>
  <c r="C343" i="32"/>
  <c r="I342" i="32"/>
  <c r="D342" i="32"/>
  <c r="C342" i="32"/>
  <c r="I341" i="32"/>
  <c r="D341" i="32" s="1"/>
  <c r="C341" i="32"/>
  <c r="I340" i="32"/>
  <c r="D340" i="32"/>
  <c r="C340" i="32"/>
  <c r="I339" i="32"/>
  <c r="D339" i="32"/>
  <c r="C339" i="32"/>
  <c r="I338" i="32"/>
  <c r="D338" i="32"/>
  <c r="C338" i="32"/>
  <c r="I337" i="32"/>
  <c r="D337" i="32" s="1"/>
  <c r="C337" i="32"/>
  <c r="I336" i="32"/>
  <c r="D336" i="32" s="1"/>
  <c r="C336" i="32"/>
  <c r="I335" i="32"/>
  <c r="D335" i="32"/>
  <c r="C335" i="32"/>
  <c r="I334" i="32"/>
  <c r="D334" i="32" s="1"/>
  <c r="C334" i="32"/>
  <c r="I333" i="32"/>
  <c r="D333" i="32" s="1"/>
  <c r="C333" i="32"/>
  <c r="I332" i="32"/>
  <c r="D332" i="32"/>
  <c r="C332" i="32"/>
  <c r="I331" i="32"/>
  <c r="D331" i="32" s="1"/>
  <c r="C331" i="32"/>
  <c r="I330" i="32"/>
  <c r="D330" i="32" s="1"/>
  <c r="C330" i="32"/>
  <c r="I329" i="32"/>
  <c r="D329" i="32" s="1"/>
  <c r="C329" i="32"/>
  <c r="I328" i="32"/>
  <c r="D328" i="32"/>
  <c r="C328" i="32"/>
  <c r="I327" i="32"/>
  <c r="D327" i="32"/>
  <c r="C327" i="32"/>
  <c r="I326" i="32"/>
  <c r="D326" i="32"/>
  <c r="C326" i="32"/>
  <c r="I325" i="32"/>
  <c r="D325" i="32"/>
  <c r="C325" i="32"/>
  <c r="I324" i="32"/>
  <c r="D324" i="32" s="1"/>
  <c r="C324" i="32"/>
  <c r="I323" i="32"/>
  <c r="D323" i="32"/>
  <c r="C323" i="32"/>
  <c r="I322" i="32"/>
  <c r="D322" i="32" s="1"/>
  <c r="C322" i="32"/>
  <c r="I321" i="32"/>
  <c r="D321" i="32"/>
  <c r="C321" i="32"/>
  <c r="I320" i="32"/>
  <c r="D320" i="32"/>
  <c r="C320" i="32"/>
  <c r="I319" i="32"/>
  <c r="D319" i="32" s="1"/>
  <c r="C319" i="32"/>
  <c r="I318" i="32"/>
  <c r="D318" i="32" s="1"/>
  <c r="C318" i="32"/>
  <c r="I317" i="32"/>
  <c r="D317" i="32" s="1"/>
  <c r="C317" i="32"/>
  <c r="I316" i="32"/>
  <c r="D316" i="32" s="1"/>
  <c r="C316" i="32"/>
  <c r="I315" i="32"/>
  <c r="D315" i="32"/>
  <c r="C315" i="32"/>
  <c r="I314" i="32"/>
  <c r="D314" i="32"/>
  <c r="C314" i="32"/>
  <c r="I313" i="32"/>
  <c r="D313" i="32"/>
  <c r="C313" i="32"/>
  <c r="I312" i="32"/>
  <c r="D312" i="32" s="1"/>
  <c r="C312" i="32"/>
  <c r="I311" i="32"/>
  <c r="D311" i="32" s="1"/>
  <c r="C311" i="32"/>
  <c r="I310" i="32"/>
  <c r="D310" i="32"/>
  <c r="C310" i="32"/>
  <c r="I309" i="32"/>
  <c r="D309" i="32"/>
  <c r="C309" i="32"/>
  <c r="I308" i="32"/>
  <c r="D308" i="32"/>
  <c r="C308" i="32"/>
  <c r="I307" i="32"/>
  <c r="D307" i="32" s="1"/>
  <c r="C307" i="32"/>
  <c r="I306" i="32"/>
  <c r="D306" i="32"/>
  <c r="C306" i="32"/>
  <c r="I305" i="32"/>
  <c r="D305" i="32" s="1"/>
  <c r="C305" i="32"/>
  <c r="I304" i="32"/>
  <c r="D304" i="32"/>
  <c r="C304" i="32"/>
  <c r="I303" i="32"/>
  <c r="D303" i="32"/>
  <c r="C303" i="32"/>
  <c r="I302" i="32"/>
  <c r="D302" i="32" s="1"/>
  <c r="C302" i="32"/>
  <c r="I301" i="32"/>
  <c r="D301" i="32" s="1"/>
  <c r="C301" i="32"/>
  <c r="I300" i="32"/>
  <c r="D300" i="32" s="1"/>
  <c r="C300" i="32"/>
  <c r="I299" i="32"/>
  <c r="D299" i="32" s="1"/>
  <c r="C299" i="32"/>
  <c r="I298" i="32"/>
  <c r="D298" i="32" s="1"/>
  <c r="C298" i="32"/>
  <c r="I297" i="32"/>
  <c r="D297" i="32"/>
  <c r="C297" i="32"/>
  <c r="I296" i="32"/>
  <c r="D296" i="32"/>
  <c r="C296" i="32"/>
  <c r="I295" i="32"/>
  <c r="D295" i="32" s="1"/>
  <c r="C295" i="32"/>
  <c r="I294" i="32"/>
  <c r="D294" i="32" s="1"/>
  <c r="C294" i="32"/>
  <c r="I293" i="32"/>
  <c r="D293" i="32" s="1"/>
  <c r="C293" i="32"/>
  <c r="I292" i="32"/>
  <c r="D292" i="32"/>
  <c r="C292" i="32"/>
  <c r="I291" i="32"/>
  <c r="D291" i="32" s="1"/>
  <c r="C291" i="32"/>
  <c r="I290" i="32"/>
  <c r="D290" i="32"/>
  <c r="C290" i="32"/>
  <c r="I289" i="32"/>
  <c r="D289" i="32"/>
  <c r="C289" i="32"/>
  <c r="I288" i="32"/>
  <c r="D288" i="32" s="1"/>
  <c r="C288" i="32"/>
  <c r="I287" i="32"/>
  <c r="D287" i="32" s="1"/>
  <c r="C287" i="32"/>
  <c r="I286" i="32"/>
  <c r="D286" i="32" s="1"/>
  <c r="C286" i="32"/>
  <c r="I285" i="32"/>
  <c r="D285" i="32" s="1"/>
  <c r="C285" i="32"/>
  <c r="I284" i="32"/>
  <c r="D284" i="32"/>
  <c r="C284" i="32"/>
  <c r="I283" i="32"/>
  <c r="D283" i="32" s="1"/>
  <c r="C283" i="32"/>
  <c r="I282" i="32"/>
  <c r="D282" i="32" s="1"/>
  <c r="C282" i="32"/>
  <c r="I281" i="32"/>
  <c r="D281" i="32" s="1"/>
  <c r="C281" i="32"/>
  <c r="I280" i="32"/>
  <c r="D280" i="32" s="1"/>
  <c r="C280" i="32"/>
  <c r="I279" i="32"/>
  <c r="D279" i="32"/>
  <c r="C279" i="32"/>
  <c r="I278" i="32"/>
  <c r="D278" i="32"/>
  <c r="C278" i="32"/>
  <c r="I277" i="32"/>
  <c r="D277" i="32"/>
  <c r="C277" i="32"/>
  <c r="I276" i="32"/>
  <c r="D276" i="32" s="1"/>
  <c r="C276" i="32"/>
  <c r="I275" i="32"/>
  <c r="D275" i="32" s="1"/>
  <c r="C275" i="32"/>
  <c r="I274" i="32"/>
  <c r="D274" i="32" s="1"/>
  <c r="C274" i="32"/>
  <c r="I273" i="32"/>
  <c r="D273" i="32"/>
  <c r="C273" i="32"/>
  <c r="I272" i="32"/>
  <c r="D272" i="32" s="1"/>
  <c r="C272" i="32"/>
  <c r="I271" i="32"/>
  <c r="D271" i="32"/>
  <c r="C271" i="32"/>
  <c r="I270" i="32"/>
  <c r="D270" i="32" s="1"/>
  <c r="C270" i="32"/>
  <c r="I269" i="32"/>
  <c r="D269" i="32" s="1"/>
  <c r="C269" i="32"/>
  <c r="I268" i="32"/>
  <c r="D268" i="32"/>
  <c r="C268" i="32"/>
  <c r="I267" i="32"/>
  <c r="D267" i="32"/>
  <c r="C267" i="32"/>
  <c r="I266" i="32"/>
  <c r="D266" i="32" s="1"/>
  <c r="C266" i="32"/>
  <c r="I265" i="32"/>
  <c r="D265" i="32"/>
  <c r="C265" i="32"/>
  <c r="I264" i="32"/>
  <c r="D264" i="32" s="1"/>
  <c r="C264" i="32"/>
  <c r="I263" i="32"/>
  <c r="D263" i="32" s="1"/>
  <c r="C263" i="32"/>
  <c r="I262" i="32"/>
  <c r="D262" i="32" s="1"/>
  <c r="C262" i="32"/>
  <c r="I261" i="32"/>
  <c r="D261" i="32"/>
  <c r="C261" i="32"/>
  <c r="I260" i="32"/>
  <c r="D260" i="32" s="1"/>
  <c r="C260" i="32"/>
  <c r="I259" i="32"/>
  <c r="D259" i="32" s="1"/>
  <c r="C259" i="32"/>
  <c r="I258" i="32"/>
  <c r="D258" i="32" s="1"/>
  <c r="C258" i="32"/>
  <c r="I257" i="32"/>
  <c r="D257" i="32" s="1"/>
  <c r="C257" i="32"/>
  <c r="I256" i="32"/>
  <c r="D256" i="32" s="1"/>
  <c r="C256" i="32"/>
  <c r="I255" i="32"/>
  <c r="D255" i="32"/>
  <c r="C255" i="32"/>
  <c r="I254" i="32"/>
  <c r="D254" i="32" s="1"/>
  <c r="C254" i="32"/>
  <c r="I253" i="32"/>
  <c r="D253" i="32" s="1"/>
  <c r="C253" i="32"/>
  <c r="I252" i="32"/>
  <c r="D252" i="32" s="1"/>
  <c r="C252" i="32"/>
  <c r="I251" i="32"/>
  <c r="D251" i="32" s="1"/>
  <c r="C251" i="32"/>
  <c r="I250" i="32"/>
  <c r="D250" i="32" s="1"/>
  <c r="C250" i="32"/>
  <c r="I249" i="32"/>
  <c r="D249" i="32"/>
  <c r="C249" i="32"/>
  <c r="I248" i="32"/>
  <c r="D248" i="32" s="1"/>
  <c r="C248" i="32"/>
  <c r="I247" i="32"/>
  <c r="D247" i="32"/>
  <c r="C247" i="32"/>
  <c r="I246" i="32"/>
  <c r="D246" i="32" s="1"/>
  <c r="C246" i="32"/>
  <c r="I245" i="32"/>
  <c r="D245" i="32"/>
  <c r="C245" i="32"/>
  <c r="I244" i="32"/>
  <c r="D244" i="32"/>
  <c r="C244" i="32"/>
  <c r="I243" i="32"/>
  <c r="D243" i="32" s="1"/>
  <c r="C243" i="32"/>
  <c r="I242" i="32"/>
  <c r="D242" i="32"/>
  <c r="C242" i="32"/>
  <c r="I241" i="32"/>
  <c r="D241" i="32"/>
  <c r="C241" i="32"/>
  <c r="I240" i="32"/>
  <c r="D240" i="32" s="1"/>
  <c r="C240" i="32"/>
  <c r="I239" i="32"/>
  <c r="D239" i="32" s="1"/>
  <c r="C239" i="32"/>
  <c r="I238" i="32"/>
  <c r="D238" i="32" s="1"/>
  <c r="C238" i="32"/>
  <c r="I237" i="32"/>
  <c r="D237" i="32" s="1"/>
  <c r="C237" i="32"/>
  <c r="I236" i="32"/>
  <c r="D236" i="32"/>
  <c r="C236" i="32"/>
  <c r="I235" i="32"/>
  <c r="D235" i="32"/>
  <c r="C235" i="32"/>
  <c r="I234" i="32"/>
  <c r="D234" i="32"/>
  <c r="C234" i="32"/>
  <c r="I233" i="32"/>
  <c r="D233" i="32" s="1"/>
  <c r="C233" i="32"/>
  <c r="I232" i="32"/>
  <c r="D232" i="32"/>
  <c r="C232" i="32"/>
  <c r="I231" i="32"/>
  <c r="D231" i="32" s="1"/>
  <c r="C231" i="32"/>
  <c r="I230" i="32"/>
  <c r="D230" i="32"/>
  <c r="C230" i="32"/>
  <c r="I229" i="32"/>
  <c r="D229" i="32" s="1"/>
  <c r="C229" i="32"/>
  <c r="I228" i="32"/>
  <c r="D228" i="32" s="1"/>
  <c r="C228" i="32"/>
  <c r="I227" i="32"/>
  <c r="D227" i="32" s="1"/>
  <c r="C227" i="32"/>
  <c r="I226" i="32"/>
  <c r="D226" i="32" s="1"/>
  <c r="C226" i="32"/>
  <c r="I225" i="32"/>
  <c r="D225" i="32"/>
  <c r="C225" i="32"/>
  <c r="I224" i="32"/>
  <c r="D224" i="32"/>
  <c r="C224" i="32"/>
  <c r="I223" i="32"/>
  <c r="D223" i="32" s="1"/>
  <c r="C223" i="32"/>
  <c r="I222" i="32"/>
  <c r="D222" i="32" s="1"/>
  <c r="C222" i="32"/>
  <c r="I221" i="32"/>
  <c r="D221" i="32" s="1"/>
  <c r="C221" i="32"/>
  <c r="I220" i="32"/>
  <c r="D220" i="32" s="1"/>
  <c r="C220" i="32"/>
  <c r="I219" i="32"/>
  <c r="D219" i="32"/>
  <c r="C219" i="32"/>
  <c r="I218" i="32"/>
  <c r="D218" i="32"/>
  <c r="C218" i="32"/>
  <c r="I217" i="32"/>
  <c r="D217" i="32"/>
  <c r="C217" i="32"/>
  <c r="I216" i="32"/>
  <c r="D216" i="32"/>
  <c r="C216" i="32"/>
  <c r="I215" i="32"/>
  <c r="D215" i="32" s="1"/>
  <c r="C215" i="32"/>
  <c r="I214" i="32"/>
  <c r="D214" i="32" s="1"/>
  <c r="C214" i="32"/>
  <c r="I213" i="32"/>
  <c r="D213" i="32"/>
  <c r="C213" i="32"/>
  <c r="I212" i="32"/>
  <c r="D212" i="32"/>
  <c r="C212" i="32"/>
  <c r="I211" i="32"/>
  <c r="D211" i="32" s="1"/>
  <c r="C211" i="32"/>
  <c r="I210" i="32"/>
  <c r="D210" i="32" s="1"/>
  <c r="C210" i="32"/>
  <c r="I209" i="32"/>
  <c r="D209" i="32" s="1"/>
  <c r="C209" i="32"/>
  <c r="I208" i="32"/>
  <c r="D208" i="32"/>
  <c r="C208" i="32"/>
  <c r="I207" i="32"/>
  <c r="D207" i="32"/>
  <c r="C207" i="32"/>
  <c r="I206" i="32"/>
  <c r="D206" i="32" s="1"/>
  <c r="C206" i="32"/>
  <c r="I205" i="32"/>
  <c r="D205" i="32" s="1"/>
  <c r="C205" i="32"/>
  <c r="I204" i="32"/>
  <c r="D204" i="32" s="1"/>
  <c r="C204" i="32"/>
  <c r="I203" i="32"/>
  <c r="D203" i="32" s="1"/>
  <c r="C203" i="32"/>
  <c r="I202" i="32"/>
  <c r="D202" i="32" s="1"/>
  <c r="C202" i="32"/>
  <c r="I201" i="32"/>
  <c r="D201" i="32"/>
  <c r="C201" i="32"/>
  <c r="I200" i="32"/>
  <c r="D200" i="32"/>
  <c r="C200" i="32"/>
  <c r="I199" i="32"/>
  <c r="D199" i="32"/>
  <c r="C199" i="32"/>
  <c r="I198" i="32"/>
  <c r="D198" i="32" s="1"/>
  <c r="C198" i="32"/>
  <c r="I197" i="32"/>
  <c r="D197" i="32" s="1"/>
  <c r="C197" i="32"/>
  <c r="I196" i="32"/>
  <c r="D196" i="32"/>
  <c r="C196" i="32"/>
  <c r="I195" i="32"/>
  <c r="D195" i="32" s="1"/>
  <c r="C195" i="32"/>
  <c r="I194" i="32"/>
  <c r="D194" i="32"/>
  <c r="C194" i="32"/>
  <c r="I193" i="32"/>
  <c r="D193" i="32"/>
  <c r="C193" i="32"/>
  <c r="I192" i="32"/>
  <c r="D192" i="32" s="1"/>
  <c r="C192" i="32"/>
  <c r="I191" i="32"/>
  <c r="D191" i="32" s="1"/>
  <c r="C191" i="32"/>
  <c r="I190" i="32"/>
  <c r="D190" i="32" s="1"/>
  <c r="C190" i="32"/>
  <c r="I189" i="32"/>
  <c r="D189" i="32" s="1"/>
  <c r="C189" i="32"/>
  <c r="I188" i="32"/>
  <c r="D188" i="32"/>
  <c r="C188" i="32"/>
  <c r="I187" i="32"/>
  <c r="D187" i="32"/>
  <c r="C187" i="32"/>
  <c r="I186" i="32"/>
  <c r="D186" i="32" s="1"/>
  <c r="C186" i="32"/>
  <c r="I185" i="32"/>
  <c r="D185" i="32" s="1"/>
  <c r="C185" i="32"/>
  <c r="I184" i="32"/>
  <c r="D184" i="32"/>
  <c r="C184" i="32"/>
  <c r="I183" i="32"/>
  <c r="D183" i="32"/>
  <c r="C183" i="32"/>
  <c r="I182" i="32"/>
  <c r="D182" i="32"/>
  <c r="C182" i="32"/>
  <c r="I181" i="32"/>
  <c r="D181" i="32"/>
  <c r="C181" i="32"/>
  <c r="I180" i="32"/>
  <c r="D180" i="32" s="1"/>
  <c r="C180" i="32"/>
  <c r="I179" i="32"/>
  <c r="D179" i="32" s="1"/>
  <c r="C179" i="32"/>
  <c r="I178" i="32"/>
  <c r="D178" i="32"/>
  <c r="C178" i="32"/>
  <c r="I177" i="32"/>
  <c r="D177" i="32"/>
  <c r="C177" i="32"/>
  <c r="I176" i="32"/>
  <c r="D176" i="32"/>
  <c r="C176" i="32"/>
  <c r="I175" i="32"/>
  <c r="D175" i="32" s="1"/>
  <c r="C175" i="32"/>
  <c r="I174" i="32"/>
  <c r="D174" i="32" s="1"/>
  <c r="C174" i="32"/>
  <c r="I173" i="32"/>
  <c r="D173" i="32" s="1"/>
  <c r="C173" i="32"/>
  <c r="I172" i="32"/>
  <c r="D172" i="32" s="1"/>
  <c r="C172" i="32"/>
  <c r="I171" i="32"/>
  <c r="D171" i="32"/>
  <c r="C171" i="32"/>
  <c r="I170" i="32"/>
  <c r="D170" i="32"/>
  <c r="C170" i="32"/>
  <c r="I169" i="32"/>
  <c r="D169" i="32" s="1"/>
  <c r="C169" i="32"/>
  <c r="I168" i="32"/>
  <c r="D168" i="32" s="1"/>
  <c r="C168" i="32"/>
  <c r="I167" i="32"/>
  <c r="D167" i="32" s="1"/>
  <c r="C167" i="32"/>
  <c r="I166" i="32"/>
  <c r="D166" i="32" s="1"/>
  <c r="C166" i="32"/>
  <c r="I165" i="32"/>
  <c r="D165" i="32"/>
  <c r="C165" i="32"/>
  <c r="I164" i="32"/>
  <c r="D164" i="32"/>
  <c r="C164" i="32"/>
  <c r="I163" i="32"/>
  <c r="D163" i="32" s="1"/>
  <c r="C163" i="32"/>
  <c r="I162" i="32"/>
  <c r="D162" i="32" s="1"/>
  <c r="C162" i="32"/>
  <c r="I161" i="32"/>
  <c r="D161" i="32"/>
  <c r="C161" i="32"/>
  <c r="I160" i="32"/>
  <c r="D160" i="32"/>
  <c r="C160" i="32"/>
  <c r="I159" i="32"/>
  <c r="D159" i="32"/>
  <c r="C159" i="32"/>
  <c r="I158" i="32"/>
  <c r="D158" i="32" s="1"/>
  <c r="C158" i="32"/>
  <c r="I157" i="32"/>
  <c r="D157" i="32" s="1"/>
  <c r="C157" i="32"/>
  <c r="I156" i="32"/>
  <c r="D156" i="32" s="1"/>
  <c r="C156" i="32"/>
  <c r="I155" i="32"/>
  <c r="D155" i="32"/>
  <c r="C155" i="32"/>
  <c r="I154" i="32"/>
  <c r="D154" i="32"/>
  <c r="C154" i="32"/>
  <c r="I153" i="32"/>
  <c r="D153" i="32"/>
  <c r="C153" i="32"/>
  <c r="I152" i="32"/>
  <c r="D152" i="32" s="1"/>
  <c r="C152" i="32"/>
  <c r="I151" i="32"/>
  <c r="D151" i="32"/>
  <c r="C151" i="32"/>
  <c r="I150" i="32"/>
  <c r="D150" i="32"/>
  <c r="C150" i="32"/>
  <c r="I149" i="32"/>
  <c r="D149" i="32" s="1"/>
  <c r="C149" i="32"/>
  <c r="I148" i="32"/>
  <c r="D148" i="32"/>
  <c r="C148" i="32"/>
  <c r="I147" i="32"/>
  <c r="D147" i="32" s="1"/>
  <c r="C147" i="32"/>
  <c r="I146" i="32"/>
  <c r="D146" i="32" s="1"/>
  <c r="C146" i="32"/>
  <c r="I145" i="32"/>
  <c r="D145" i="32"/>
  <c r="C145" i="32"/>
  <c r="I144" i="32"/>
  <c r="D144" i="32"/>
  <c r="C144" i="32"/>
  <c r="I143" i="32"/>
  <c r="D143" i="32" s="1"/>
  <c r="C143" i="32"/>
  <c r="I142" i="32"/>
  <c r="D142" i="32" s="1"/>
  <c r="C142" i="32"/>
  <c r="I141" i="32"/>
  <c r="D141" i="32" s="1"/>
  <c r="C141" i="32"/>
  <c r="I140" i="32"/>
  <c r="D140" i="32" s="1"/>
  <c r="C140" i="32"/>
  <c r="I139" i="32"/>
  <c r="D139" i="32" s="1"/>
  <c r="C139" i="32"/>
  <c r="I138" i="32"/>
  <c r="D138" i="32" s="1"/>
  <c r="C138" i="32"/>
  <c r="I137" i="32"/>
  <c r="D137" i="32" s="1"/>
  <c r="C137" i="32"/>
  <c r="I136" i="32"/>
  <c r="D136" i="32" s="1"/>
  <c r="C136" i="32"/>
  <c r="I135" i="32"/>
  <c r="D135" i="32"/>
  <c r="C135" i="32"/>
  <c r="I134" i="32"/>
  <c r="D134" i="32"/>
  <c r="C134" i="32"/>
  <c r="I133" i="32"/>
  <c r="D133" i="32"/>
  <c r="C133" i="32"/>
  <c r="I132" i="32"/>
  <c r="D132" i="32" s="1"/>
  <c r="C132" i="32"/>
  <c r="I131" i="32"/>
  <c r="D131" i="32" s="1"/>
  <c r="C131" i="32"/>
  <c r="I130" i="32"/>
  <c r="D130" i="32"/>
  <c r="C130" i="32"/>
  <c r="I129" i="32"/>
  <c r="D129" i="32" s="1"/>
  <c r="C129" i="32"/>
  <c r="I128" i="32"/>
  <c r="D128" i="32"/>
  <c r="C128" i="32"/>
  <c r="I127" i="32"/>
  <c r="D127" i="32"/>
  <c r="C127" i="32"/>
  <c r="I126" i="32"/>
  <c r="D126" i="32" s="1"/>
  <c r="C126" i="32"/>
  <c r="I125" i="32"/>
  <c r="D125" i="32" s="1"/>
  <c r="C125" i="32"/>
  <c r="I124" i="32"/>
  <c r="D124" i="32" s="1"/>
  <c r="C124" i="32"/>
  <c r="I123" i="32"/>
  <c r="D123" i="32" s="1"/>
  <c r="C123" i="32"/>
  <c r="I122" i="32"/>
  <c r="D122" i="32" s="1"/>
  <c r="C122" i="32"/>
  <c r="I121" i="32"/>
  <c r="D121" i="32"/>
  <c r="C121" i="32"/>
  <c r="I120" i="32"/>
  <c r="D120" i="32" s="1"/>
  <c r="C120" i="32"/>
  <c r="I119" i="32"/>
  <c r="D119" i="32" s="1"/>
  <c r="C119" i="32"/>
  <c r="I118" i="32"/>
  <c r="D118" i="32" s="1"/>
  <c r="C118" i="32"/>
  <c r="I117" i="32"/>
  <c r="D117" i="32"/>
  <c r="C117" i="32"/>
  <c r="I116" i="32"/>
  <c r="D116" i="32" s="1"/>
  <c r="C116" i="32"/>
  <c r="I115" i="32"/>
  <c r="D115" i="32" s="1"/>
  <c r="C115" i="32"/>
  <c r="I114" i="32"/>
  <c r="D114" i="32" s="1"/>
  <c r="C114" i="32"/>
  <c r="I113" i="32"/>
  <c r="D113" i="32" s="1"/>
  <c r="C113" i="32"/>
  <c r="I112" i="32"/>
  <c r="D112" i="32" s="1"/>
  <c r="C112" i="32"/>
  <c r="I111" i="32"/>
  <c r="D111" i="32"/>
  <c r="C111" i="32"/>
  <c r="I110" i="32"/>
  <c r="D110" i="32" s="1"/>
  <c r="C110" i="32"/>
  <c r="I109" i="32"/>
  <c r="D109" i="32" s="1"/>
  <c r="C109" i="32"/>
  <c r="I108" i="32"/>
  <c r="D108" i="32"/>
  <c r="C108" i="32"/>
  <c r="I107" i="32"/>
  <c r="D107" i="32" s="1"/>
  <c r="C107" i="32"/>
  <c r="I106" i="32"/>
  <c r="D106" i="32" s="1"/>
  <c r="C106" i="32"/>
  <c r="I105" i="32"/>
  <c r="D105" i="32"/>
  <c r="C105" i="32"/>
  <c r="I104" i="32"/>
  <c r="D104" i="32"/>
  <c r="C104" i="32"/>
  <c r="I103" i="32"/>
  <c r="D103" i="32"/>
  <c r="C103" i="32"/>
  <c r="I102" i="32"/>
  <c r="D102" i="32" s="1"/>
  <c r="C102" i="32"/>
  <c r="I101" i="32"/>
  <c r="D101" i="32" s="1"/>
  <c r="C101" i="32"/>
  <c r="I100" i="32"/>
  <c r="D100" i="32" s="1"/>
  <c r="C100" i="32"/>
  <c r="I99" i="32"/>
  <c r="D99" i="32" s="1"/>
  <c r="C99" i="32"/>
  <c r="I98" i="32"/>
  <c r="D98" i="32"/>
  <c r="C98" i="32"/>
  <c r="I97" i="32"/>
  <c r="D97" i="32"/>
  <c r="C97" i="32"/>
  <c r="I96" i="32"/>
  <c r="D96" i="32"/>
  <c r="C96" i="32"/>
  <c r="I95" i="32"/>
  <c r="D95" i="32"/>
  <c r="C95" i="32"/>
  <c r="I94" i="32"/>
  <c r="D94" i="32" s="1"/>
  <c r="C94" i="32"/>
  <c r="I93" i="32"/>
  <c r="D93" i="32" s="1"/>
  <c r="C93" i="32"/>
  <c r="I92" i="32"/>
  <c r="D92" i="32"/>
  <c r="C92" i="32"/>
  <c r="I91" i="32"/>
  <c r="D91" i="32"/>
  <c r="C91" i="32"/>
  <c r="I90" i="32"/>
  <c r="D90" i="32" s="1"/>
  <c r="C90" i="32"/>
  <c r="I89" i="32"/>
  <c r="D89" i="32"/>
  <c r="C89" i="32"/>
  <c r="I88" i="32"/>
  <c r="D88" i="32"/>
  <c r="C88" i="32"/>
  <c r="I87" i="32"/>
  <c r="D87" i="32" s="1"/>
  <c r="C87" i="32"/>
  <c r="I86" i="32"/>
  <c r="D86" i="32"/>
  <c r="C86" i="32"/>
  <c r="I85" i="32"/>
  <c r="D85" i="32"/>
  <c r="C85" i="32"/>
  <c r="I84" i="32"/>
  <c r="D84" i="32" s="1"/>
  <c r="C84" i="32"/>
  <c r="I83" i="32"/>
  <c r="D83" i="32" s="1"/>
  <c r="C83" i="32"/>
  <c r="I82" i="32"/>
  <c r="D82" i="32"/>
  <c r="C82" i="32"/>
  <c r="I81" i="32"/>
  <c r="D81" i="32" s="1"/>
  <c r="C81" i="32"/>
  <c r="I80" i="32"/>
  <c r="D80" i="32"/>
  <c r="C80" i="32"/>
  <c r="I79" i="32"/>
  <c r="D79" i="32"/>
  <c r="C79" i="32"/>
  <c r="I78" i="32"/>
  <c r="D78" i="32" s="1"/>
  <c r="C78" i="32"/>
  <c r="I77" i="32"/>
  <c r="D77" i="32" s="1"/>
  <c r="C77" i="32"/>
  <c r="I76" i="32"/>
  <c r="D76" i="32" s="1"/>
  <c r="C76" i="32"/>
  <c r="I75" i="32"/>
  <c r="D75" i="32" s="1"/>
  <c r="C75" i="32"/>
  <c r="I74" i="32"/>
  <c r="D74" i="32"/>
  <c r="C74" i="32"/>
  <c r="I73" i="32"/>
  <c r="D73" i="32"/>
  <c r="C73" i="32"/>
  <c r="I72" i="32"/>
  <c r="D72" i="32" s="1"/>
  <c r="C72" i="32"/>
  <c r="I71" i="32"/>
  <c r="D71" i="32"/>
  <c r="C71" i="32"/>
  <c r="I70" i="32"/>
  <c r="D70" i="32"/>
  <c r="C70" i="32"/>
  <c r="I69" i="32"/>
  <c r="D69" i="32"/>
  <c r="C69" i="32"/>
  <c r="I68" i="32"/>
  <c r="D68" i="32"/>
  <c r="C68" i="32"/>
  <c r="I67" i="32"/>
  <c r="D67" i="32" s="1"/>
  <c r="C67" i="32"/>
  <c r="I66" i="32"/>
  <c r="D66" i="32" s="1"/>
  <c r="C66" i="32"/>
  <c r="I65" i="32"/>
  <c r="D65" i="32" s="1"/>
  <c r="C65" i="32"/>
  <c r="I64" i="32"/>
  <c r="D64" i="32" s="1"/>
  <c r="C64" i="32"/>
  <c r="I63" i="32"/>
  <c r="D63" i="32"/>
  <c r="C63" i="32"/>
  <c r="I62" i="32"/>
  <c r="D62" i="32" s="1"/>
  <c r="C62" i="32"/>
  <c r="I61" i="32"/>
  <c r="D61" i="32" s="1"/>
  <c r="C61" i="32"/>
  <c r="I60" i="32"/>
  <c r="D60" i="32" s="1"/>
  <c r="C60" i="32"/>
  <c r="I59" i="32"/>
  <c r="D59" i="32"/>
  <c r="C59" i="32"/>
  <c r="I58" i="32"/>
  <c r="D58" i="32" s="1"/>
  <c r="C58" i="32"/>
  <c r="I57" i="32"/>
  <c r="D57" i="32"/>
  <c r="C57" i="32"/>
  <c r="I56" i="32"/>
  <c r="D56" i="32"/>
  <c r="C56" i="32"/>
  <c r="I55" i="32"/>
  <c r="D55" i="32"/>
  <c r="C55" i="32"/>
  <c r="I54" i="32"/>
  <c r="D54" i="32" s="1"/>
  <c r="C54" i="32"/>
  <c r="I53" i="32"/>
  <c r="D53" i="32" s="1"/>
  <c r="C53" i="32"/>
  <c r="I52" i="32"/>
  <c r="D52" i="32"/>
  <c r="C52" i="32"/>
  <c r="I51" i="32"/>
  <c r="D51" i="32"/>
  <c r="C51" i="32"/>
  <c r="I50" i="32"/>
  <c r="D50" i="32" s="1"/>
  <c r="C50" i="32"/>
  <c r="I49" i="32"/>
  <c r="D49" i="32"/>
  <c r="C49" i="32"/>
  <c r="I48" i="32"/>
  <c r="D48" i="32" s="1"/>
  <c r="C48" i="32"/>
  <c r="I47" i="32"/>
  <c r="D47" i="32" s="1"/>
  <c r="C47" i="32"/>
  <c r="I46" i="32"/>
  <c r="D46" i="32" s="1"/>
  <c r="C46" i="32"/>
  <c r="I45" i="32"/>
  <c r="D45" i="32" s="1"/>
  <c r="C45" i="32"/>
  <c r="I44" i="32"/>
  <c r="D44" i="32" s="1"/>
  <c r="C44" i="32"/>
  <c r="I43" i="32"/>
  <c r="D43" i="32"/>
  <c r="C43" i="32"/>
  <c r="I42" i="32"/>
  <c r="D42" i="32" s="1"/>
  <c r="C42" i="32"/>
  <c r="I41" i="32"/>
  <c r="D41" i="32"/>
  <c r="C41" i="32"/>
  <c r="I40" i="32"/>
  <c r="D40" i="32"/>
  <c r="C40" i="32"/>
  <c r="I39" i="32"/>
  <c r="D39" i="32"/>
  <c r="C39" i="32"/>
  <c r="I38" i="32"/>
  <c r="D38" i="32"/>
  <c r="C38" i="32"/>
  <c r="I37" i="32"/>
  <c r="D37" i="32"/>
  <c r="C37" i="32"/>
  <c r="I36" i="32"/>
  <c r="D36" i="32" s="1"/>
  <c r="C36" i="32"/>
  <c r="I35" i="32"/>
  <c r="D35" i="32" s="1"/>
  <c r="C35" i="32"/>
  <c r="I34" i="32"/>
  <c r="D34" i="32"/>
  <c r="C34" i="32"/>
  <c r="I33" i="32"/>
  <c r="D33" i="32" s="1"/>
  <c r="C33" i="32"/>
  <c r="I32" i="32"/>
  <c r="D32" i="32"/>
  <c r="C32" i="32"/>
  <c r="I31" i="32"/>
  <c r="D31" i="32"/>
  <c r="C31" i="32"/>
  <c r="I30" i="32"/>
  <c r="D30" i="32" s="1"/>
  <c r="C30" i="32"/>
  <c r="I29" i="32"/>
  <c r="D29" i="32" s="1"/>
  <c r="C29" i="32"/>
  <c r="I28" i="32"/>
  <c r="D28" i="32"/>
  <c r="C28" i="32"/>
  <c r="I27" i="32"/>
  <c r="D27" i="32" s="1"/>
  <c r="C27" i="32"/>
  <c r="I26" i="32"/>
  <c r="D26" i="32"/>
  <c r="C26" i="32"/>
  <c r="I25" i="32"/>
  <c r="D25" i="32"/>
  <c r="C25" i="32"/>
  <c r="I24" i="32"/>
  <c r="D24" i="32" s="1"/>
  <c r="C24" i="32"/>
  <c r="I23" i="32"/>
  <c r="D23" i="32" s="1"/>
  <c r="C23" i="32"/>
  <c r="I22" i="32"/>
  <c r="D22" i="32"/>
  <c r="C22" i="32"/>
  <c r="I21" i="32"/>
  <c r="D21" i="32"/>
  <c r="C21" i="32"/>
  <c r="I20" i="32"/>
  <c r="D20" i="32"/>
  <c r="C20" i="32"/>
  <c r="I19" i="32"/>
  <c r="D19" i="32" s="1"/>
  <c r="C19" i="32"/>
  <c r="I18" i="32"/>
  <c r="D18" i="32" s="1"/>
  <c r="C18" i="32"/>
  <c r="I17" i="32"/>
  <c r="D17" i="32" s="1"/>
  <c r="C17" i="32"/>
  <c r="I16" i="32"/>
  <c r="D16" i="32" s="1"/>
  <c r="C16" i="32"/>
  <c r="I15" i="32"/>
  <c r="D15" i="32"/>
  <c r="C15" i="32"/>
  <c r="I14" i="32"/>
  <c r="D14" i="32" s="1"/>
  <c r="C14" i="32"/>
  <c r="I13" i="32"/>
  <c r="D13" i="32" s="1"/>
  <c r="C13" i="32"/>
  <c r="I12" i="32"/>
  <c r="D12" i="32"/>
  <c r="C12" i="32"/>
  <c r="I11" i="32"/>
  <c r="D11" i="32" s="1"/>
  <c r="C11" i="32"/>
  <c r="I10" i="32"/>
  <c r="D10" i="32" s="1"/>
  <c r="C10" i="32"/>
  <c r="I9" i="32"/>
  <c r="D9" i="32"/>
  <c r="C9" i="32"/>
  <c r="I8" i="32"/>
  <c r="D8" i="32"/>
  <c r="C8" i="32"/>
  <c r="I444" i="32" l="1"/>
  <c r="C444" i="32"/>
  <c r="D444" i="32"/>
  <c r="K17" i="28" l="1"/>
  <c r="K18" i="28"/>
  <c r="F19" i="28"/>
  <c r="F6" i="28" s="1"/>
  <c r="H19" i="28"/>
  <c r="H6" i="28" s="1"/>
  <c r="I19" i="28"/>
  <c r="I6" i="28" s="1"/>
  <c r="J19" i="28"/>
  <c r="J6" i="28" s="1"/>
  <c r="G19" i="28"/>
  <c r="G6" i="28" s="1"/>
  <c r="K20" i="28"/>
  <c r="K21" i="28"/>
  <c r="K25" i="28"/>
  <c r="F26" i="28"/>
  <c r="F24" i="28" s="1"/>
  <c r="H26" i="28"/>
  <c r="H24" i="28" s="1"/>
  <c r="I26" i="28"/>
  <c r="I24" i="28" s="1"/>
  <c r="J26" i="28"/>
  <c r="J24" i="28" s="1"/>
  <c r="G26" i="28"/>
  <c r="G24" i="28" s="1"/>
  <c r="F27" i="28"/>
  <c r="H27" i="28"/>
  <c r="I27" i="28"/>
  <c r="J27" i="28"/>
  <c r="G27" i="28"/>
  <c r="F31" i="28"/>
  <c r="H31" i="28"/>
  <c r="I31" i="28"/>
  <c r="J31" i="28"/>
  <c r="G31" i="28"/>
  <c r="F32" i="28"/>
  <c r="H32" i="28"/>
  <c r="I32" i="28"/>
  <c r="J32" i="28"/>
  <c r="G32" i="28"/>
  <c r="K32" i="28" s="1"/>
  <c r="F33" i="28"/>
  <c r="H33" i="28"/>
  <c r="I33" i="28"/>
  <c r="J33" i="28"/>
  <c r="G33" i="28"/>
  <c r="F34" i="28"/>
  <c r="H34" i="28"/>
  <c r="I34" i="28"/>
  <c r="J34" i="28"/>
  <c r="G34" i="28"/>
  <c r="K35" i="28"/>
  <c r="K14" i="28"/>
  <c r="G9" i="28" l="1"/>
  <c r="K26" i="28"/>
  <c r="K24" i="28" s="1"/>
  <c r="J9" i="28"/>
  <c r="I9" i="28"/>
  <c r="K33" i="28"/>
  <c r="I29" i="28"/>
  <c r="K27" i="28"/>
  <c r="K34" i="28"/>
  <c r="K31" i="28"/>
  <c r="J29" i="28"/>
  <c r="H29" i="28"/>
  <c r="H23" i="28" s="1"/>
  <c r="H11" i="28" s="1"/>
  <c r="G29" i="28"/>
  <c r="G23" i="28" s="1"/>
  <c r="J7" i="28"/>
  <c r="J23" i="28"/>
  <c r="J11" i="28" s="1"/>
  <c r="I7" i="28"/>
  <c r="I23" i="28"/>
  <c r="I11" i="28" s="1"/>
  <c r="H9" i="28"/>
  <c r="F29" i="28"/>
  <c r="F9" i="28"/>
  <c r="K19" i="28"/>
  <c r="H7" i="28" l="1"/>
  <c r="G7" i="28"/>
  <c r="K6" i="28"/>
  <c r="K9" i="28"/>
  <c r="F7" i="28"/>
  <c r="F23" i="28"/>
  <c r="K23" i="28" l="1"/>
  <c r="K11" i="28" s="1"/>
  <c r="K7" i="28"/>
  <c r="W29" i="27" l="1"/>
  <c r="V29" i="27"/>
  <c r="X29" i="27"/>
  <c r="U29" i="27"/>
  <c r="T29" i="27"/>
  <c r="S29" i="27"/>
  <c r="R29" i="27"/>
  <c r="Q29" i="27"/>
  <c r="P29" i="27"/>
  <c r="O29" i="27"/>
  <c r="N29" i="27"/>
  <c r="M29" i="27"/>
  <c r="L29" i="27"/>
  <c r="K29" i="27"/>
  <c r="J29" i="27"/>
  <c r="I29" i="27"/>
  <c r="H29" i="27"/>
  <c r="G29" i="27"/>
  <c r="F29" i="27"/>
  <c r="W24" i="27"/>
  <c r="V24" i="27"/>
  <c r="U24" i="27"/>
  <c r="T24" i="27"/>
  <c r="S24" i="27"/>
  <c r="R24" i="27"/>
  <c r="Q24" i="27"/>
  <c r="P24" i="27"/>
  <c r="O24" i="27"/>
  <c r="N24" i="27"/>
  <c r="M24" i="27"/>
  <c r="L24" i="27"/>
  <c r="K24" i="27"/>
  <c r="J24" i="27"/>
  <c r="I24" i="27"/>
  <c r="H24" i="27"/>
  <c r="G24" i="27"/>
  <c r="F24" i="27"/>
  <c r="W9" i="27"/>
  <c r="V9" i="27"/>
  <c r="U9" i="27"/>
  <c r="T9" i="27"/>
  <c r="S9" i="27"/>
  <c r="R9" i="27"/>
  <c r="Q9" i="27"/>
  <c r="P9" i="27"/>
  <c r="O9" i="27"/>
  <c r="N9" i="27"/>
  <c r="M9" i="27"/>
  <c r="L9" i="27"/>
  <c r="K9" i="27"/>
  <c r="J9" i="27"/>
  <c r="I9" i="27"/>
  <c r="H9" i="27"/>
  <c r="G9" i="27"/>
  <c r="F9" i="27"/>
  <c r="W6" i="27"/>
  <c r="V6" i="27"/>
  <c r="U6" i="27"/>
  <c r="T6" i="27"/>
  <c r="S6" i="27"/>
  <c r="R6" i="27"/>
  <c r="Q6" i="27"/>
  <c r="P6" i="27"/>
  <c r="O6" i="27"/>
  <c r="N6" i="27"/>
  <c r="M6" i="27"/>
  <c r="L6" i="27"/>
  <c r="K6" i="27"/>
  <c r="J6" i="27"/>
  <c r="I6" i="27"/>
  <c r="H6" i="27"/>
  <c r="G6" i="27"/>
  <c r="F6" i="27"/>
  <c r="D13" i="13" l="1"/>
  <c r="E13" i="13" s="1"/>
  <c r="F3" i="34" s="1"/>
  <c r="Y29" i="27"/>
  <c r="G10" i="27"/>
  <c r="H10" i="27"/>
  <c r="F10" i="27"/>
  <c r="I10" i="27"/>
  <c r="K10" i="27"/>
  <c r="J10" i="27"/>
  <c r="L10" i="27"/>
  <c r="M10" i="27"/>
  <c r="N10" i="27"/>
  <c r="O10" i="27"/>
  <c r="U10" i="27"/>
  <c r="P10" i="27"/>
  <c r="Q10" i="27"/>
  <c r="D14" i="13" s="1"/>
  <c r="E14" i="13" s="1"/>
  <c r="R10" i="27"/>
  <c r="S10" i="27"/>
  <c r="T10" i="27"/>
  <c r="C4" i="34" l="1" a="1"/>
  <c r="J3" i="34"/>
  <c r="G4" i="34" a="1"/>
  <c r="E17" i="13"/>
  <c r="Y10" i="27"/>
  <c r="F14" i="13" l="1"/>
  <c r="I14" i="13" s="1"/>
  <c r="L14" i="13" s="1"/>
  <c r="C4" i="34"/>
  <c r="C3" i="34" s="1"/>
  <c r="G4" i="34"/>
  <c r="G3" i="34" l="1"/>
  <c r="H4" i="34" a="1"/>
  <c r="H4" i="34" s="1"/>
  <c r="D4" i="34" a="1"/>
  <c r="E83" i="34"/>
  <c r="E80" i="34"/>
  <c r="E52" i="34"/>
  <c r="E50" i="34"/>
  <c r="E77" i="34"/>
  <c r="E71" i="34"/>
  <c r="E60" i="34"/>
  <c r="E74" i="34"/>
  <c r="E54" i="34"/>
  <c r="E66" i="34"/>
  <c r="E93" i="34"/>
  <c r="E94" i="34"/>
  <c r="E65" i="34"/>
  <c r="E87" i="34"/>
  <c r="E58" i="34"/>
  <c r="E99" i="34"/>
  <c r="E75" i="34"/>
  <c r="E56" i="34"/>
  <c r="E100" i="34"/>
  <c r="E92" i="34"/>
  <c r="E84" i="34"/>
  <c r="E95" i="34"/>
  <c r="E49" i="34"/>
  <c r="E96" i="34"/>
  <c r="E61" i="34"/>
  <c r="E57" i="34"/>
  <c r="E102" i="34"/>
  <c r="E89" i="34"/>
  <c r="E81" i="34"/>
  <c r="E51" i="34"/>
  <c r="E59" i="34"/>
  <c r="E76" i="34"/>
  <c r="E103" i="34"/>
  <c r="E101" i="34"/>
  <c r="E90" i="34"/>
  <c r="E68" i="34"/>
  <c r="E79" i="34"/>
  <c r="E67" i="34"/>
  <c r="E85" i="34"/>
  <c r="E64" i="34"/>
  <c r="E98" i="34"/>
  <c r="E69" i="34"/>
  <c r="E97" i="34"/>
  <c r="E82" i="34"/>
  <c r="E63" i="34"/>
  <c r="E88" i="34"/>
  <c r="E78" i="34"/>
  <c r="E86" i="34"/>
  <c r="E72" i="34"/>
  <c r="E73" i="34"/>
  <c r="E53" i="34"/>
  <c r="E55" i="34"/>
  <c r="E48" i="34"/>
  <c r="E62" i="34"/>
  <c r="E70" i="34"/>
  <c r="E91" i="34"/>
  <c r="BA29" i="26"/>
  <c r="AL7" i="26"/>
  <c r="AJ7" i="26"/>
  <c r="AI7" i="26"/>
  <c r="AG7" i="26"/>
  <c r="AF7" i="26"/>
  <c r="AE7" i="26"/>
  <c r="AD7" i="26"/>
  <c r="AA7" i="26"/>
  <c r="M7" i="26"/>
  <c r="L7" i="26"/>
  <c r="G7" i="26"/>
  <c r="BA28" i="26"/>
  <c r="BA27" i="26"/>
  <c r="BA26" i="26"/>
  <c r="BA25" i="26"/>
  <c r="BA18" i="26"/>
  <c r="BA9" i="26" s="1"/>
  <c r="BA17" i="26"/>
  <c r="BA6" i="26" s="1"/>
  <c r="AX9" i="26"/>
  <c r="AX10" i="26" s="1"/>
  <c r="AW9" i="26"/>
  <c r="AW10" i="26" s="1"/>
  <c r="AV9" i="26"/>
  <c r="AU9" i="26"/>
  <c r="AU10" i="26" s="1"/>
  <c r="AZ9" i="26"/>
  <c r="AT9" i="26"/>
  <c r="AT10" i="26" s="1"/>
  <c r="AS9" i="26"/>
  <c r="AS10" i="26" s="1"/>
  <c r="AR9" i="26"/>
  <c r="AR10" i="26" s="1"/>
  <c r="AQ9" i="26"/>
  <c r="AQ10" i="26" s="1"/>
  <c r="AP9" i="26"/>
  <c r="AP10" i="26" s="1"/>
  <c r="AO9" i="26"/>
  <c r="AO10" i="26" s="1"/>
  <c r="AN9" i="26"/>
  <c r="AN10" i="26" s="1"/>
  <c r="AM9" i="26"/>
  <c r="AM10" i="26" s="1"/>
  <c r="AL9" i="26"/>
  <c r="AL10" i="26" s="1"/>
  <c r="AK9" i="26"/>
  <c r="AK10" i="26" s="1"/>
  <c r="AJ9" i="26"/>
  <c r="AJ10" i="26" s="1"/>
  <c r="AI9" i="26"/>
  <c r="AI10" i="26" s="1"/>
  <c r="AH9" i="26"/>
  <c r="AG9" i="26"/>
  <c r="AG10" i="26" s="1"/>
  <c r="AF9" i="26"/>
  <c r="AF10" i="26" s="1"/>
  <c r="AE9" i="26"/>
  <c r="AE10" i="26" s="1"/>
  <c r="AD9" i="26"/>
  <c r="AD10" i="26" s="1"/>
  <c r="AC9" i="26"/>
  <c r="AC10" i="26" s="1"/>
  <c r="AB9" i="26"/>
  <c r="AB10" i="26" s="1"/>
  <c r="AA9" i="26"/>
  <c r="AA10" i="26" s="1"/>
  <c r="Z9" i="26"/>
  <c r="Z10" i="26" s="1"/>
  <c r="Y9" i="26"/>
  <c r="Y10" i="26" s="1"/>
  <c r="X9" i="26"/>
  <c r="X10" i="26" s="1"/>
  <c r="W9" i="26"/>
  <c r="W10" i="26" s="1"/>
  <c r="V9" i="26"/>
  <c r="V10" i="26" s="1"/>
  <c r="U9" i="26"/>
  <c r="U10" i="26" s="1"/>
  <c r="T9" i="26"/>
  <c r="T10" i="26" s="1"/>
  <c r="AY9" i="26"/>
  <c r="S9" i="26"/>
  <c r="S10" i="26" s="1"/>
  <c r="R9" i="26"/>
  <c r="R10" i="26" s="1"/>
  <c r="Q9" i="26"/>
  <c r="Q10" i="26" s="1"/>
  <c r="P9" i="26"/>
  <c r="P10" i="26" s="1"/>
  <c r="O9" i="26"/>
  <c r="O10" i="26" s="1"/>
  <c r="N9" i="26"/>
  <c r="N10" i="26" s="1"/>
  <c r="M9" i="26"/>
  <c r="M10" i="26" s="1"/>
  <c r="L9" i="26"/>
  <c r="L10" i="26" s="1"/>
  <c r="K9" i="26"/>
  <c r="K10" i="26" s="1"/>
  <c r="J9" i="26"/>
  <c r="J10" i="26" s="1"/>
  <c r="I9" i="26"/>
  <c r="I10" i="26" s="1"/>
  <c r="H9" i="26"/>
  <c r="H10" i="26" s="1"/>
  <c r="G9" i="26"/>
  <c r="G10" i="26" s="1"/>
  <c r="F9" i="26"/>
  <c r="AX6" i="26"/>
  <c r="AW6" i="26"/>
  <c r="AV6" i="26"/>
  <c r="AU6" i="26"/>
  <c r="AZ6" i="26"/>
  <c r="AT6" i="26"/>
  <c r="AS6" i="26"/>
  <c r="AR6" i="26"/>
  <c r="AQ6" i="26"/>
  <c r="AP6" i="26"/>
  <c r="AO6" i="26"/>
  <c r="AN6" i="26"/>
  <c r="AM6" i="26"/>
  <c r="AL6" i="26"/>
  <c r="AK6" i="26"/>
  <c r="AJ6" i="26"/>
  <c r="AI6" i="26"/>
  <c r="AH6" i="26"/>
  <c r="AG6" i="26"/>
  <c r="AF6" i="26"/>
  <c r="AE6" i="26"/>
  <c r="AD6" i="26"/>
  <c r="AC6" i="26"/>
  <c r="AB6" i="26"/>
  <c r="AA6" i="26"/>
  <c r="Z6" i="26"/>
  <c r="Y6" i="26"/>
  <c r="X6" i="26"/>
  <c r="W6" i="26"/>
  <c r="V6" i="26"/>
  <c r="U6" i="26"/>
  <c r="T6" i="26"/>
  <c r="AY6" i="26"/>
  <c r="S6" i="26"/>
  <c r="R6" i="26"/>
  <c r="Q6" i="26"/>
  <c r="P6" i="26"/>
  <c r="O6" i="26"/>
  <c r="N6" i="26"/>
  <c r="M6" i="26"/>
  <c r="L6" i="26"/>
  <c r="K6" i="26"/>
  <c r="J6" i="26"/>
  <c r="I6" i="26"/>
  <c r="H6" i="26"/>
  <c r="G6" i="26"/>
  <c r="F6" i="26"/>
  <c r="AV10" i="26" l="1"/>
  <c r="D13" i="37"/>
  <c r="E13" i="37" s="1"/>
  <c r="BA10" i="26"/>
  <c r="S7" i="26"/>
  <c r="AY7" i="26"/>
  <c r="O7" i="26"/>
  <c r="P7" i="26"/>
  <c r="R7" i="26"/>
  <c r="T7" i="26"/>
  <c r="U7" i="26"/>
  <c r="Q7" i="26"/>
  <c r="V7" i="26"/>
  <c r="N7" i="26"/>
  <c r="AR7" i="26"/>
  <c r="AS7" i="26"/>
  <c r="AT7" i="26"/>
  <c r="AU7" i="26"/>
  <c r="BA23" i="26"/>
  <c r="BA11" i="26" s="1"/>
  <c r="AB7" i="26"/>
  <c r="AC7" i="26"/>
  <c r="BA24" i="26"/>
  <c r="AK7" i="26"/>
  <c r="AQ7" i="26"/>
  <c r="AZ7" i="26"/>
  <c r="F7" i="26"/>
  <c r="AV7" i="26"/>
  <c r="AW7" i="26"/>
  <c r="AX7" i="26"/>
  <c r="BA7" i="26"/>
  <c r="D4" i="34"/>
  <c r="E4" i="34" s="1"/>
  <c r="I71" i="34"/>
  <c r="I65" i="34"/>
  <c r="I60" i="34"/>
  <c r="I82" i="34"/>
  <c r="I89" i="34"/>
  <c r="I103" i="34"/>
  <c r="I73" i="34"/>
  <c r="I67" i="34"/>
  <c r="I55" i="34"/>
  <c r="I95" i="34"/>
  <c r="I58" i="34"/>
  <c r="I70" i="34"/>
  <c r="I66" i="34"/>
  <c r="I90" i="34"/>
  <c r="I75" i="34"/>
  <c r="I96" i="34"/>
  <c r="I77" i="34"/>
  <c r="I48" i="34"/>
  <c r="I68" i="34"/>
  <c r="I72" i="34"/>
  <c r="I49" i="34"/>
  <c r="I85" i="34"/>
  <c r="I74" i="34"/>
  <c r="I100" i="34"/>
  <c r="I99" i="34"/>
  <c r="I56" i="34"/>
  <c r="I84" i="34"/>
  <c r="I50" i="34"/>
  <c r="I87" i="34"/>
  <c r="I101" i="34"/>
  <c r="I59" i="34"/>
  <c r="I102" i="34"/>
  <c r="I52" i="34"/>
  <c r="I54" i="34"/>
  <c r="I64" i="34"/>
  <c r="I62" i="34"/>
  <c r="I57" i="34"/>
  <c r="I91" i="34"/>
  <c r="I80" i="34"/>
  <c r="I61" i="34"/>
  <c r="I88" i="34"/>
  <c r="I92" i="34"/>
  <c r="I69" i="34"/>
  <c r="I97" i="34"/>
  <c r="I86" i="34"/>
  <c r="I98" i="34"/>
  <c r="I78" i="34"/>
  <c r="I79" i="34"/>
  <c r="I76" i="34"/>
  <c r="I93" i="34"/>
  <c r="I53" i="34"/>
  <c r="I94" i="34"/>
  <c r="I83" i="34"/>
  <c r="I81" i="34"/>
  <c r="I51" i="34"/>
  <c r="I63" i="34"/>
  <c r="I7" i="26"/>
  <c r="X7" i="26"/>
  <c r="AN7" i="26"/>
  <c r="J7" i="26"/>
  <c r="Y7" i="26"/>
  <c r="AO7" i="26"/>
  <c r="K7" i="26"/>
  <c r="Z7" i="26"/>
  <c r="AP7" i="26"/>
  <c r="H7" i="26"/>
  <c r="W7" i="26"/>
  <c r="AM7" i="26"/>
  <c r="D14" i="37" l="1"/>
  <c r="E14" i="37" s="1"/>
  <c r="J3" i="38" s="1"/>
  <c r="F3" i="38"/>
  <c r="C4" i="38" a="1"/>
  <c r="E17" i="37"/>
  <c r="D3" i="34"/>
  <c r="H3" i="34"/>
  <c r="I4" i="34"/>
  <c r="G4" i="38" l="1" a="1"/>
  <c r="G4" i="38" s="1"/>
  <c r="F14" i="37"/>
  <c r="I14" i="37" s="1"/>
  <c r="L14" i="37" s="1"/>
  <c r="C4" i="38"/>
  <c r="C3" i="38" l="1"/>
  <c r="D4" i="38" a="1"/>
  <c r="G3" i="38"/>
  <c r="H4" i="38" a="1"/>
  <c r="D4" i="38" l="1"/>
  <c r="E11" i="38"/>
  <c r="E5" i="38"/>
  <c r="E14" i="38"/>
  <c r="E37" i="38"/>
  <c r="E20" i="38"/>
  <c r="E22" i="38"/>
  <c r="E41" i="38"/>
  <c r="E23" i="38"/>
  <c r="E17" i="38"/>
  <c r="E27" i="38"/>
  <c r="E28" i="38"/>
  <c r="E15" i="38"/>
  <c r="E16" i="38"/>
  <c r="E10" i="38"/>
  <c r="E18" i="38"/>
  <c r="E26" i="38"/>
  <c r="E38" i="38"/>
  <c r="E30" i="38"/>
  <c r="E31" i="38"/>
  <c r="E12" i="38"/>
  <c r="E34" i="38"/>
  <c r="E32" i="38"/>
  <c r="E39" i="38"/>
  <c r="E9" i="38"/>
  <c r="E21" i="38"/>
  <c r="E40" i="38"/>
  <c r="E6" i="38"/>
  <c r="E35" i="38"/>
  <c r="E42" i="38"/>
  <c r="E36" i="38"/>
  <c r="E43" i="38"/>
  <c r="E8" i="38"/>
  <c r="E33" i="38"/>
  <c r="E25" i="38"/>
  <c r="E24" i="38"/>
  <c r="E19" i="38"/>
  <c r="E7" i="38"/>
  <c r="E44" i="38"/>
  <c r="E13" i="38"/>
  <c r="E29" i="38"/>
  <c r="H4" i="38"/>
  <c r="I23" i="38"/>
  <c r="I14" i="38"/>
  <c r="I30" i="38"/>
  <c r="I10" i="38"/>
  <c r="I39" i="38"/>
  <c r="I20" i="38"/>
  <c r="I44" i="38"/>
  <c r="I18" i="38"/>
  <c r="I17" i="38"/>
  <c r="I32" i="38"/>
  <c r="I11" i="38"/>
  <c r="I27" i="38"/>
  <c r="I40" i="38"/>
  <c r="I37" i="38"/>
  <c r="I24" i="38"/>
  <c r="I42" i="38"/>
  <c r="I28" i="38"/>
  <c r="I26" i="38"/>
  <c r="I7" i="38"/>
  <c r="I12" i="38"/>
  <c r="I9" i="38"/>
  <c r="I19" i="38"/>
  <c r="I35" i="38"/>
  <c r="I34" i="38"/>
  <c r="I16" i="38"/>
  <c r="I5" i="38"/>
  <c r="I29" i="38"/>
  <c r="I8" i="38"/>
  <c r="I21" i="38"/>
  <c r="I41" i="38"/>
  <c r="I25" i="38"/>
  <c r="I6" i="38"/>
  <c r="I15" i="38"/>
  <c r="I38" i="38"/>
  <c r="I43" i="38"/>
  <c r="I22" i="38"/>
  <c r="I33" i="38"/>
  <c r="I31" i="38"/>
  <c r="I13" i="38"/>
  <c r="I36" i="38"/>
  <c r="K602" i="18"/>
  <c r="J602" i="18"/>
  <c r="I602" i="18"/>
  <c r="H602" i="18"/>
  <c r="E602" i="18"/>
  <c r="C602" i="18" l="1"/>
  <c r="D602" i="18"/>
  <c r="I4" i="38"/>
  <c r="I3" i="38" s="1"/>
  <c r="H3" i="38"/>
  <c r="E4" i="38"/>
  <c r="D3" i="38"/>
  <c r="E18" i="34"/>
  <c r="E34" i="34"/>
  <c r="M6" i="34"/>
  <c r="M22" i="34"/>
  <c r="M38" i="34"/>
  <c r="Q16" i="34"/>
  <c r="Q32" i="34"/>
  <c r="I9" i="34"/>
  <c r="I41" i="34"/>
  <c r="I43" i="34"/>
  <c r="I44" i="34"/>
  <c r="I13" i="34"/>
  <c r="M39" i="34"/>
  <c r="Q17" i="34"/>
  <c r="Q33" i="34"/>
  <c r="E36" i="34"/>
  <c r="I30" i="34"/>
  <c r="M40" i="34"/>
  <c r="Q18" i="34"/>
  <c r="E21" i="34"/>
  <c r="E37" i="34"/>
  <c r="I15" i="34"/>
  <c r="I31" i="34"/>
  <c r="M41" i="34"/>
  <c r="Q19" i="34"/>
  <c r="E6" i="34"/>
  <c r="E38" i="34"/>
  <c r="I16" i="34"/>
  <c r="I32" i="34"/>
  <c r="M42" i="34"/>
  <c r="Q20" i="34"/>
  <c r="Q36" i="34"/>
  <c r="E7" i="34"/>
  <c r="E23" i="34"/>
  <c r="E39" i="34"/>
  <c r="I17" i="34"/>
  <c r="I33" i="34"/>
  <c r="M11" i="34"/>
  <c r="M27" i="34"/>
  <c r="M43" i="34"/>
  <c r="Q5" i="34"/>
  <c r="Q37" i="34"/>
  <c r="E8" i="34"/>
  <c r="E24" i="34"/>
  <c r="E40" i="34"/>
  <c r="I18" i="34"/>
  <c r="I34" i="34"/>
  <c r="M12" i="34"/>
  <c r="M28" i="34"/>
  <c r="M44" i="34"/>
  <c r="Q6" i="34"/>
  <c r="Q22" i="34"/>
  <c r="Q38" i="34"/>
  <c r="E9" i="34"/>
  <c r="E25" i="34"/>
  <c r="E41" i="34"/>
  <c r="I19" i="34"/>
  <c r="I35" i="34"/>
  <c r="M13" i="34"/>
  <c r="M29" i="34"/>
  <c r="M45" i="34"/>
  <c r="Q7" i="34"/>
  <c r="Q23" i="34"/>
  <c r="Q39" i="34"/>
  <c r="E26" i="34"/>
  <c r="E42" i="34"/>
  <c r="I20" i="34"/>
  <c r="I36" i="34"/>
  <c r="M14" i="34"/>
  <c r="M30" i="34"/>
  <c r="M46" i="34"/>
  <c r="Q8" i="34"/>
  <c r="Q24" i="34"/>
  <c r="Q40" i="34"/>
  <c r="I26" i="34"/>
  <c r="I27" i="34"/>
  <c r="E35" i="34"/>
  <c r="I29" i="34"/>
  <c r="M7" i="34"/>
  <c r="I46" i="34"/>
  <c r="M24" i="34"/>
  <c r="M25" i="34"/>
  <c r="M26" i="34"/>
  <c r="E10" i="34"/>
  <c r="E11" i="34"/>
  <c r="E27" i="34"/>
  <c r="E43" i="34"/>
  <c r="I5" i="34"/>
  <c r="I21" i="34"/>
  <c r="I37" i="34"/>
  <c r="M15" i="34"/>
  <c r="M31" i="34"/>
  <c r="M47" i="34"/>
  <c r="Q9" i="34"/>
  <c r="Q25" i="34"/>
  <c r="Q41" i="34"/>
  <c r="I11" i="34"/>
  <c r="I12" i="34"/>
  <c r="E19" i="34"/>
  <c r="I14" i="34"/>
  <c r="M8" i="34"/>
  <c r="Q34" i="34"/>
  <c r="E5" i="34"/>
  <c r="I47" i="34"/>
  <c r="Q35" i="34"/>
  <c r="Q21" i="34"/>
  <c r="E28" i="34"/>
  <c r="E44" i="34"/>
  <c r="I6" i="34"/>
  <c r="I22" i="34"/>
  <c r="I38" i="34"/>
  <c r="M16" i="34"/>
  <c r="M32" i="34"/>
  <c r="Q10" i="34"/>
  <c r="Q26" i="34"/>
  <c r="Q42" i="34"/>
  <c r="I25" i="34"/>
  <c r="I10" i="34"/>
  <c r="I42" i="34"/>
  <c r="I28" i="34"/>
  <c r="I45" i="34"/>
  <c r="M23" i="34"/>
  <c r="E20" i="34"/>
  <c r="M9" i="34"/>
  <c r="E22" i="34"/>
  <c r="M10" i="34"/>
  <c r="E12" i="34"/>
  <c r="E13" i="34"/>
  <c r="E29" i="34"/>
  <c r="E45" i="34"/>
  <c r="I7" i="34"/>
  <c r="I23" i="34"/>
  <c r="I39" i="34"/>
  <c r="M17" i="34"/>
  <c r="M33" i="34"/>
  <c r="Q11" i="34"/>
  <c r="Q27" i="34"/>
  <c r="Q43" i="34"/>
  <c r="E3" i="38" l="1"/>
  <c r="I8" i="34"/>
  <c r="I24" i="34"/>
  <c r="I40" i="34"/>
  <c r="E46" i="34"/>
  <c r="E33" i="34"/>
  <c r="E32" i="34"/>
  <c r="E31" i="34"/>
  <c r="E30" i="34"/>
  <c r="E17" i="34"/>
  <c r="E16" i="34"/>
  <c r="E15" i="34"/>
  <c r="E14" i="34"/>
  <c r="E47" i="34"/>
  <c r="Q12" i="34"/>
  <c r="Q13" i="34"/>
  <c r="Q14" i="34"/>
  <c r="Q15" i="34"/>
  <c r="Q28" i="34"/>
  <c r="Q29" i="34"/>
  <c r="Q30" i="34"/>
  <c r="Q31" i="34"/>
  <c r="Q44" i="34"/>
  <c r="Q45" i="34"/>
  <c r="Q46" i="34"/>
  <c r="Q47" i="34"/>
  <c r="M36" i="34"/>
  <c r="M35" i="34"/>
  <c r="M34" i="34"/>
  <c r="M21" i="34"/>
  <c r="M20" i="34"/>
  <c r="M19" i="34"/>
  <c r="M18" i="34"/>
  <c r="M5" i="34"/>
  <c r="M37" i="34"/>
  <c r="I16" i="37"/>
  <c r="L16" i="37" s="1"/>
  <c r="H17" i="37"/>
  <c r="E3" i="34" l="1"/>
  <c r="F13" i="13" s="1"/>
  <c r="F17" i="13" s="1"/>
  <c r="F13" i="37"/>
  <c r="Q3" i="34"/>
  <c r="H16" i="13" s="1"/>
  <c r="I16" i="13" s="1"/>
  <c r="L16" i="13" s="1"/>
  <c r="I3" i="34"/>
  <c r="M3" i="34"/>
  <c r="I13" i="13"/>
  <c r="I17" i="13" s="1"/>
  <c r="B7" i="13" s="1"/>
  <c r="H17" i="13" l="1"/>
  <c r="F17" i="37"/>
  <c r="I13" i="37"/>
  <c r="B8" i="13"/>
  <c r="L13" i="13"/>
  <c r="L17" i="13" s="1"/>
  <c r="I17" i="37" l="1"/>
  <c r="B7" i="37" s="1"/>
  <c r="B8" i="37" s="1"/>
  <c r="L13" i="37"/>
  <c r="L17" i="37" s="1"/>
</calcChain>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<sst xmlns="http://schemas.openxmlformats.org/spreadsheetml/2006/main" count="5822" uniqueCount="1481">
  <si>
    <t>Avoided Gas Project Costs</t>
  </si>
  <si>
    <t>Calculation Template Provided by CPUC for Assessing Avoided Gas Project Costs for Comparison with Zero-Emission Alternatives</t>
  </si>
  <si>
    <r>
      <t>a.</t>
    </r>
    <r>
      <rPr>
        <sz val="12"/>
        <color rgb="FF000000"/>
        <rFont val="Times New Roman"/>
        <family val="1"/>
      </rPr>
      <t xml:space="preserve">    </t>
    </r>
    <r>
      <rPr>
        <sz val="12"/>
        <color rgb="FF000000"/>
        <rFont val="Book Antiqua"/>
        <family val="1"/>
      </rPr>
      <t>Complete one copy of this calculation template for each project or site. If the project overlaps more than one operating district, complete one copy for the portion in each operating district.</t>
    </r>
  </si>
  <si>
    <t>b.   Submit the completed calculation templates electronically with the application in working Excel and PDF format.</t>
  </si>
  <si>
    <t>Calculations</t>
  </si>
  <si>
    <t>b.   Copy the values from the purple cells showing the Total  Ratepayer Cost of the Avoided Gas Project (cell B7) and Costs Per Service (cell B8) into the application template.</t>
  </si>
  <si>
    <t>c.   Copy additional information into the application as desired.</t>
  </si>
  <si>
    <t>d.   Other tabs may be reviewed for informational purposes, but do not require any edits.</t>
  </si>
  <si>
    <t>Summary</t>
  </si>
  <si>
    <t>This calculation template uses basic project site information, input by the user, to calculate the avoided gas project costs associated with replacing gas distribution mains, services, and regulator stations at a particular site.  These are the main types of gas projects likely to be avoided by zero-emission alternatives.  The tool uses historical district average costs for main and service replacement per mile, and for regulator station replacement per station, to estimate project costs. The tool adds to this the site's share of systemwide gas maintenance costs, based on the number of gas services and the project's estimated years in operation.  Costs are increased to account  for inflation and calculated as the net present value in the application year (2027).</t>
  </si>
  <si>
    <t>Additional Notes</t>
  </si>
  <si>
    <t>a.    Data provided in the utility-specific "Costs Data" tabs is a subset of data provided by utilities, reformatted for this calculator. It may also be used as a reference. Data are annual based on 2021-2024 actuals, therefore can be considered to be in 2022 dollars. For additional details, see cost spreadsheets provided by each utility.</t>
  </si>
  <si>
    <t>b.    Data provided in the utility-specific "Pressure Districts" tabs may be used to identify whether a given census tract has a regulator station serving it which is up for replacement, if known, and an estimate of how many customer meters are dependent on each such regulator station. To decommission the regulator station, these customers would need to be decommissioned or served by another station.</t>
  </si>
  <si>
    <t>c. Discount rates have a minor impact on the calculation results, because they are only used to calculate maintenance costs and to adjust initial costs to the project start year. Net present value of replacement costs is not impacted by the rate of return because their discount rate is assumed to be the same as their rate of return, and therefore they cancel out. For details of these calculations, see the equations used in the "Calculations" and "NPV Calculations" tabs.</t>
  </si>
  <si>
    <t>PG&amp;E Avoided Gas Project Costs</t>
  </si>
  <si>
    <t>Site Name</t>
  </si>
  <si>
    <t>Gas Infrastructure  Replacement Type(s)</t>
  </si>
  <si>
    <t>Site Address / Location</t>
  </si>
  <si>
    <t>Operating District</t>
  </si>
  <si>
    <t>Census Tract</t>
  </si>
  <si>
    <t>City</t>
  </si>
  <si>
    <t>Zip Code</t>
  </si>
  <si>
    <t>Partnering Organization(s)</t>
  </si>
  <si>
    <t>Gas Utility</t>
  </si>
  <si>
    <t>Electric Utility</t>
  </si>
  <si>
    <t>Distribution mains, services, and regulator stations</t>
  </si>
  <si>
    <t>San Jose</t>
  </si>
  <si>
    <t>[11-digit census tract ID number]</t>
  </si>
  <si>
    <t>PG&amp;E</t>
  </si>
  <si>
    <t>Number of Affected Services</t>
  </si>
  <si>
    <t>Estimated Gas Project Start Year</t>
  </si>
  <si>
    <t>Application Year</t>
  </si>
  <si>
    <t>Total Ratepayer Cost of the Avoided Gas Project</t>
  </si>
  <si>
    <t>Years to Completion</t>
  </si>
  <si>
    <t>Rate of Return (WACC)</t>
  </si>
  <si>
    <t>Costs Per Service</t>
  </si>
  <si>
    <t>Gas Distribution Mains and Services Estimated Years in Operation</t>
  </si>
  <si>
    <t>Discount Rate for Net Present Value Calculation</t>
  </si>
  <si>
    <t>Regulator Station Estimated Years in Operation</t>
  </si>
  <si>
    <t>Project Cost Inflation</t>
  </si>
  <si>
    <t>Non-Ratepayer Cost Calculation (optional)</t>
  </si>
  <si>
    <t>Row ID</t>
  </si>
  <si>
    <t>Gas Infrastructure Type</t>
  </si>
  <si>
    <t>Mileage or Number of Stations</t>
  </si>
  <si>
    <t xml:space="preserve">Cost Per Mile or Per Regulator Station </t>
  </si>
  <si>
    <t>Replacement Cost (Nominal Dollar Value)</t>
  </si>
  <si>
    <t>Replacement Cost (Net Present Value)</t>
  </si>
  <si>
    <t>Annual Maintenance Cost (Nominal Dollar Value)</t>
  </si>
  <si>
    <t>Maintenance Cost Over Gas Project Lifetime (Net Present Value)</t>
  </si>
  <si>
    <t>Total Ratepayer Cost</t>
  </si>
  <si>
    <t>Local Government Permitting Cost</t>
  </si>
  <si>
    <t>Other Costs</t>
  </si>
  <si>
    <t>Total Cost Impacts</t>
  </si>
  <si>
    <t>Definition</t>
  </si>
  <si>
    <t>001</t>
  </si>
  <si>
    <t>Gas distribution service</t>
  </si>
  <si>
    <t>002</t>
  </si>
  <si>
    <t>Gas distribution main</t>
  </si>
  <si>
    <t>003</t>
  </si>
  <si>
    <t>Regulator stations</t>
  </si>
  <si>
    <t>004</t>
  </si>
  <si>
    <t>Project's share of gas system maintenance costs</t>
  </si>
  <si>
    <t>005</t>
  </si>
  <si>
    <t>Total</t>
  </si>
  <si>
    <t>Gas Distribution Services</t>
  </si>
  <si>
    <t>Gas Distribution Mains</t>
  </si>
  <si>
    <t>Gas Distribution Regulator Stations</t>
  </si>
  <si>
    <t>Project's Share of Gas System Maintenance Costs</t>
  </si>
  <si>
    <t>Row</t>
  </si>
  <si>
    <t>Years After Current Year</t>
  </si>
  <si>
    <t>Year Share of Replacement Cost (2022 Dollar Value)</t>
  </si>
  <si>
    <t>Utility Shareholder Return (2022 Dollar Value)</t>
  </si>
  <si>
    <t>Cost to Ratepayers (Net Present Value)</t>
  </si>
  <si>
    <t>Replacement Cost to Ratepayers (Net Present Value)</t>
  </si>
  <si>
    <t>Annual Maintenance Cost (2022 Dollar Value)</t>
  </si>
  <si>
    <t>Maintenance Cost to Ratepayers Over Gas Project Lifetime (Net Present Value)</t>
  </si>
  <si>
    <t>PG&amp;E Gas Distribution Costs by Operating District</t>
  </si>
  <si>
    <t xml:space="preserve"> </t>
  </si>
  <si>
    <t>Based on data provided by Pacific Gas and Electric Company in response to September 24, 2025 ALJ's Ruling Directing Gas Utilities to Provide Gas Distribution Cost Data</t>
  </si>
  <si>
    <t>See https://www.cpuc.ca.gov/industries-and-topics/natural-gas/SB-1221-implementation for utility-provided data and CPUC data templates.</t>
  </si>
  <si>
    <t>Districts Where Mains-and-Services Replacement Costs More Per Service Than Services-Only Replacement</t>
  </si>
  <si>
    <t>Districts Where Mains-and-Services Replacement is Cheaper Per Service Than Services-Only Replacement</t>
  </si>
  <si>
    <t>Row ID in Utility Data</t>
  </si>
  <si>
    <t>Program Category</t>
  </si>
  <si>
    <t>Row Name</t>
  </si>
  <si>
    <t>Central Coast</t>
  </si>
  <si>
    <t>De Anza</t>
  </si>
  <si>
    <t>Diablo</t>
  </si>
  <si>
    <t>Fresno</t>
  </si>
  <si>
    <t>Humboldt</t>
  </si>
  <si>
    <t>Kern</t>
  </si>
  <si>
    <t>Mission</t>
  </si>
  <si>
    <t>North Bay</t>
  </si>
  <si>
    <t>North Valley</t>
  </si>
  <si>
    <t>Peninsula</t>
  </si>
  <si>
    <t>Sacramento</t>
  </si>
  <si>
    <t>Sierra</t>
  </si>
  <si>
    <t>Sonoma</t>
  </si>
  <si>
    <t>Stockton</t>
  </si>
  <si>
    <t>Yosemite</t>
  </si>
  <si>
    <t>East Bay</t>
  </si>
  <si>
    <t>San Francisco</t>
  </si>
  <si>
    <r>
      <t>Systemwide</t>
    </r>
    <r>
      <rPr>
        <b/>
        <vertAlign val="superscript"/>
        <sz val="12"/>
        <rFont val="Book Antiqua"/>
        <family val="1"/>
      </rPr>
      <t>(a)</t>
    </r>
  </si>
  <si>
    <t>Totals or Averages Across All Operating Districts</t>
  </si>
  <si>
    <t>PG&amp;E Notes</t>
  </si>
  <si>
    <t>Background Information</t>
  </si>
  <si>
    <t>B1</t>
  </si>
  <si>
    <t>Service-only replacement programs</t>
  </si>
  <si>
    <t>Cost per service replaced, for services only</t>
  </si>
  <si>
    <t xml:space="preserve">Average cost of replacing gas distribution services only. Calculated by dividing B5 by B3. </t>
  </si>
  <si>
    <t>The value for "cost per service replaced, for services only" was derived using recorded costs and units from 2021 - 2024 which were then averaged. Due to volumes of work differing by PG&amp;E operating districts (divisions), PG&amp;E provides a weighted average for this value in the last column. Any ratesetting activity should rely on the forecast presented in the General Rate Case (GRC). The value presented in this spreadsheet is different from the forecast methodology used in the GRC or other proceedings.</t>
  </si>
  <si>
    <t>B8</t>
  </si>
  <si>
    <t>Main and service replacement programs</t>
  </si>
  <si>
    <t>Cost per service, for main programs</t>
  </si>
  <si>
    <t>Average cost of gas distribution main and service replacement activities, per service. Calculated by dividing B15 by B12.</t>
  </si>
  <si>
    <t>The value for the "Cost per service, for main programs" was derived using recoded costs from 2021 - 2024 which were then averaged. PG&amp;E does not track services as a primary unit of measure for main replacement programs and routinely does not report this information. Due to volumes of work differing by PG&amp;E operating districts (divisions), PG&amp;E provides a weighted average for this value in the last column. Any ratesetting activity should rely on the forecast presented in the General Rate Case (GRC). The value presented in this spreadsheet is different from the forecast methodology used in the GRC or other proceedings.</t>
  </si>
  <si>
    <t>Calculation Inputs</t>
  </si>
  <si>
    <t>B2</t>
  </si>
  <si>
    <t>Cost per service mile replaced, for services only</t>
  </si>
  <si>
    <t>Average cost of service-only replacement activities, per mile of service. Calculated by dividing B5 by B4.</t>
  </si>
  <si>
    <t>For the value for "Cost per service mile replaced, for services only", PG&amp;E does not use a unit of measure (UoM) of miles for services for routine reporting or internal tracking purposes. Any ratesetting activity should rely on the forecast presented in the General Rate Case (GRC). The value presented in this spreadsheet is different from the forecast methodology used in the GRC or other proceedings.</t>
  </si>
  <si>
    <t>Cost per main mile replaced, in addition to cost of replacing services</t>
  </si>
  <si>
    <t xml:space="preserve">Average cost of replacing gas distribution mains only, per mile of main, assuming services are also replaced. Calculated by subtracting the product of B2 and B14 from B15, then dividing by B13. If negative (cost of service-only replacement per service mile exceeds cost of mains-and-services replacement per service mile), then use cost of main miles replaced including services, to calculate mains-and-services project costs, and only use services costs for services-only projects. </t>
  </si>
  <si>
    <t>NA (would be negative, because service-only replacement programs' cost per service mile replaced is greater than main and service replacement programs' cost per service mile replaced)</t>
  </si>
  <si>
    <t>B9</t>
  </si>
  <si>
    <t>Cost per main mile replaced,including associated services, if used in calculator</t>
  </si>
  <si>
    <t>Average cost of gas distribution main and service replacement activities, per mile of main. Calculated by dividing B15 by B13. Only used for calculations, and therefore shown in this row, if above row shows NA.</t>
  </si>
  <si>
    <t>E3</t>
  </si>
  <si>
    <t>Regulator station replacement programs</t>
  </si>
  <si>
    <t>Cost per regulator station replaced</t>
  </si>
  <si>
    <t>Average cost of replacing a gas distribution regulator station. Calculated by dividing E9 by E6.</t>
  </si>
  <si>
    <t>The values for "Cost per regulator station replaced" were obtained using recorded costs and units for medium-pressure regulator stations, a sub-set of all the projects in the Regulator Station Rebuild program (50C) from 2021 - 2024 (each year's value taken as is, values not escalated into 2024$ for the average calculation). Any ratesetting activity should rely on the forecast presented in the GRC. The value presented in this spreadsheet is different from the forecast methodology used in the GRC or other proceedings. Due to volumes of work differing by PG&amp;E operating districts (divisions), PG&amp;E provides a weighted average for this value in the last column.</t>
  </si>
  <si>
    <t>A8</t>
  </si>
  <si>
    <t>NA</t>
  </si>
  <si>
    <t>Maintenance cost per service</t>
  </si>
  <si>
    <r>
      <t>Average cost of gas distribution pipeline maintenance</t>
    </r>
    <r>
      <rPr>
        <sz val="12"/>
        <color rgb="FF000000"/>
        <rFont val="Book Antiqua"/>
        <family val="1"/>
      </rPr>
      <t>, per service, not including replacement costs. Also shown in later table, cell G1.</t>
    </r>
  </si>
  <si>
    <t>For the value for "Maintenance cost per service," PG&amp;E utilized value from workbook file labeled: "Maintenance Costs - PG&amp;E," tab labeled "Distribution Pipelines," and Row Name labeled "Maintenance cost per service."</t>
  </si>
  <si>
    <t>B22</t>
  </si>
  <si>
    <t>Project time to completion, for main programs</t>
  </si>
  <si>
    <t>Average days between the date that the project was identified for replacement and the date that the replacement equipment was placed in operation.</t>
  </si>
  <si>
    <t>For the value for "Project time to completion, for main programs," PG&amp;E used the average days between the job creation and the construction complete task date associated with the job. PG&amp;E applied data validation rules to ensure data quality.</t>
  </si>
  <si>
    <t>E15</t>
  </si>
  <si>
    <t>Project time to completion, for regulator station replacement</t>
  </si>
  <si>
    <t>Average days between the date that the regulator station was identified for replacement and the date that the replacement station was placed in operation.</t>
  </si>
  <si>
    <t>For the value for "Project time to completion, for regulator station replacement", PG&amp;E used the average days between the order creation and the construction complete task date assoicated with the project. This is calculated only for the projects with unit capture in 2021 to 2024. Due to volumes of work differing by PG&amp;E operating districts (divisions), PG&amp;E provides a weighted average for this value in the last column.</t>
  </si>
  <si>
    <t>Additional Information on Service-Only Replacement Programs</t>
  </si>
  <si>
    <t>B3</t>
  </si>
  <si>
    <t>Services replaced per year, when services only</t>
  </si>
  <si>
    <t>Average number of services replaced by service-only replacement programs.</t>
  </si>
  <si>
    <t>For the value for "Services replaced per year, when services only," PG&amp;E is providing an average total count of services in the 2021 through 2024 timeframe.</t>
  </si>
  <si>
    <t>B4</t>
  </si>
  <si>
    <t>Service miles replaced, when services only</t>
  </si>
  <si>
    <t>Total miles of service replaced by service-only replacement programs.</t>
  </si>
  <si>
    <t>For the value for "Service miles replaced, when services only," PG&amp;E does not use a unit of measure (UoM) of miles for services for routine reporting or internal tracking purposes. PG&amp;E performed an export of service lengths from its GD GIS system of service-only jobs that had a unit associated in 2021 - 2024 timeframe.</t>
  </si>
  <si>
    <t>B5</t>
  </si>
  <si>
    <t>Total costs, for service-only programs</t>
  </si>
  <si>
    <t>Total costs of service-only replacement programs. Calculated by summing costs for service-only replacement program work orders using cost definitions for the four cost groups “Internal Labor and Related Costs,” “External Labor and Related Costs,” “Materials,” and “Other Misc Costs.”</t>
  </si>
  <si>
    <t>For the value for "Total costs, for service-only programs", PG&amp;E is providing the per year average 2021 through 2024.  Depending on complexity and work scope, the life-cycle of projects can vary widely, with the major phases being project initiation, design and scoping, execution, documentation, mapping, and closeout. Therefore, each year, there are multiple projects that incur costs but that do not count as a completed unit. Therefore, each year, there are multiple projects that incur costs but that do not count as a completed unit. Any ratesetting activity should rely on the forecast presented in the General Rate Case (GRC). The value presented in this spreadsheet is different from the forecast methodology used in the GRC or other proceedings.</t>
  </si>
  <si>
    <t>B6</t>
  </si>
  <si>
    <t>Project planning period, for services only</t>
  </si>
  <si>
    <t>Average days between the date that the service(s) was identified for replacement and the date that replacement activities broke ground.</t>
  </si>
  <si>
    <t>For the value for "Project planning period, for services only," PG&amp;E used the average days between the job creation and the earliest scheduled construction date associated with the job. PG&amp;E applied data validation rules to ensure data quality.</t>
  </si>
  <si>
    <t>B7</t>
  </si>
  <si>
    <t>Project time to completion, for services only</t>
  </si>
  <si>
    <t>Average days between the date that the project was identified for replacement and the date that the replaced service(s) was placed in operation.</t>
  </si>
  <si>
    <t>For the value for "Project time to completion, for services only," PG&amp;E used the average days between the job creation and the construction complete task date associated with the job. PG&amp;E applied data validation rules to ensure data quality.</t>
  </si>
  <si>
    <t>Additional Information on Main and Service Replacement Programs</t>
  </si>
  <si>
    <t>Cost per main mile replaced</t>
  </si>
  <si>
    <t>Average cost of gas distribution main and service replacement activities, per mile of main. Calculated by dividing B15 by B13.</t>
  </si>
  <si>
    <t>The value for "cost per main mile replaced" was derived using recorded costs and units from 2021 - 2024 which were then averaged. Due to volumes of work differing by PG&amp;E operating districts (divisions), PG&amp;E provides a weighted average for this value in the last column. Any ratesetting activity should rely on the forecast presented in the General Rate Case (GRC). The value presented in this spreadsheet is different from the forecast methodology used in the GRC or other proceedings.</t>
  </si>
  <si>
    <t>B10</t>
  </si>
  <si>
    <t>Services per project, for main programs</t>
  </si>
  <si>
    <r>
      <t xml:space="preserve">Average number of services in a single work order.  Calculated by dividing B12 by B11. </t>
    </r>
    <r>
      <rPr>
        <sz val="8"/>
        <color theme="1"/>
        <rFont val="Book Antiqua"/>
        <family val="1"/>
      </rPr>
      <t> </t>
    </r>
  </si>
  <si>
    <t>For the value for "Services per project, for main programs," PG&amp;E does not track services as a primary unit of measure for main replacement programs and routinely does not report this information. Due to volumes of work differing by PG&amp;E operating districts (divisions), PG&amp;E provides a weighted average for this value in the last column.</t>
  </si>
  <si>
    <t>B11</t>
  </si>
  <si>
    <t>Main program projects per year</t>
  </si>
  <si>
    <t>Average work orders per year, totaled across the utility’s main and service replacement programs.</t>
  </si>
  <si>
    <t>For the value for "Main program projects per year," PG&amp;E is providing an average total count of jobs per year containing units associated with them from 2021 through 2024. The count excludes those jobs that did not have units associated with them in the 2021 through 2024 timeframe.</t>
  </si>
  <si>
    <t>B12</t>
  </si>
  <si>
    <t>Services addressed by main programs</t>
  </si>
  <si>
    <t xml:space="preserve">Total services connected to mains replaced by main and service replacement programs, whether or not the service was replaced by the project. </t>
  </si>
  <si>
    <t>For the value for "Services addressed by main programs," PG&amp;E provided an average number of services replaced per year associated with main and service replacement program jobs in the 2021 through 2024 timeframe. PG&amp;E's "planned service replacement" number was lower than the "services replaced" number and thus PG&amp;E elected to utilized "services replaced".</t>
  </si>
  <si>
    <t>B13</t>
  </si>
  <si>
    <t>Main miles replaced</t>
  </si>
  <si>
    <t>Total miles of main replaced by main and service replacement program work orders.</t>
  </si>
  <si>
    <t>For the value for "Main miles replaced," PG&amp;E provided the total average per year of miles of main replaced in the 2021 through 2024 time period.</t>
  </si>
  <si>
    <t>B14</t>
  </si>
  <si>
    <t>Service miles replaced, for main programs</t>
  </si>
  <si>
    <t>Total miles of service replaced by main and service replacement program work orders.</t>
  </si>
  <si>
    <t>For the value for "Service miles replaced, for main programs," PG&amp;E does not routinely utilize a unit of measure (UoM) of "miles" for regulatory reporting or internal tracking for services within main replacement programs. PG&amp;E performed an export of service lengths from its Gas Distribution (GD) GIS system of main and service replacement jobs that had a unit associated in 2021 - 2024 timeframe.</t>
  </si>
  <si>
    <t>B15</t>
  </si>
  <si>
    <t>Total costs, for main programs</t>
  </si>
  <si>
    <r>
      <t>Total costs of main and service replacement program work orders. Calculated by summing B17, B18, B19 and B20.</t>
    </r>
    <r>
      <rPr>
        <i/>
        <sz val="12"/>
        <color theme="1"/>
        <rFont val="Book Antiqua"/>
        <family val="1"/>
      </rPr>
      <t xml:space="preserve"> </t>
    </r>
  </si>
  <si>
    <t>For the value for "Total costs, for main programs", PG&amp;E is providing a per year average 2021 through 2024 costs for MATs 14A, 14D, and 50A. Depending on complexity and work scope, the life-cycle of projects can vary widely, with the major phases being project initiation, design and scoping, execution, documentation, mapping, and closeout. Therefore, each year, there are multiple projects that incur costs but that do not count as a completed unit. Any ratesetting activity should rely on the forecast presented in the General Rate Case (GRC). The value presented in this spreadsheet is different from the forecast methodology used in the GRC or other proceedings.</t>
  </si>
  <si>
    <t>B16</t>
  </si>
  <si>
    <t>Cost Group</t>
  </si>
  <si>
    <t>B17</t>
  </si>
  <si>
    <t>Internal Labor and Related Costs</t>
  </si>
  <si>
    <t>Sum of salaries of utility employees; benefits (health, retirement, disability, etc.) associated with utility employee labor; employee travel costs, including meals, lodging, mileage, per diem, incidentals, and any other travel costs; and payroll taxes.</t>
  </si>
  <si>
    <t>For the value for "Internal Labor and Related Costs", PG&amp;E is providing a per year average 2021 through 2024 costs for MATs 14A, 14D, and 50A. Depending on complexity and work scope, the life-cycle of projects can vary widely, with the major phases being project initiation, design and scoping, execution, documentation, mapping, and closeout. Therefore, each year, there are multiple projects that incur costs but that do not count as a completed unit. Any ratesetting activity should rely on the forecast presented in the General Rate Case (GRC). The value presented in this spreadsheet is different from the forecast methodology used in the GRC or other proceedings.</t>
  </si>
  <si>
    <t>B18</t>
  </si>
  <si>
    <t>External Labor and Related Costs</t>
  </si>
  <si>
    <t>Combine “external labor” and contracts costs.  Includes contracts for services and for employees.  Include equipment rental here.</t>
  </si>
  <si>
    <t xml:space="preserve">For the value for "External Labor and Related Costs", PG&amp;E is providing a per year average 2021 through 2024 costs for MATs 14A, 14D, and 50A. Depending on complexity and work scope, the life-cycle of projects can vary widely, with the major phases being project initiation, design and scoping, execution, documentation, mapping, and closeout. Therefore, each year, there are multiple projects that incur costs but that do not count as a completed unit. Any ratesetting activity should rely on the forecast presented in the General Rate Case (GRC). The value presented in this spreadsheet is different from the forecast methodology used in the GRC or other proceedings. </t>
  </si>
  <si>
    <t>B19</t>
  </si>
  <si>
    <t>Materials</t>
  </si>
  <si>
    <t>Cost of pipe, valves, fittings, regulators, and other materials installed at the project.</t>
  </si>
  <si>
    <t>For the value for "Materials", PG&amp;E is providing a per year average 2021 through 2024 costs for MATs 14A, 14D, and 50A. Depending on complexity and work scope, the life-cycle of projects can vary widely, with the major phases being project initiation, design and scoping, execution, documentation, mapping, and closeout. Therefore, each year, there are multiple projects that incur costs but that do not count as a completed unit. Any ratesetting activity should rely on the forecast presented in the General Rate Case (GRC). The value presented in this spreadsheet is different from the forecast methodology used in the GRC or other proceedings.</t>
  </si>
  <si>
    <t>B20</t>
  </si>
  <si>
    <t>Other Misc Costs</t>
  </si>
  <si>
    <t xml:space="preserve">Sum of costs in the cost categories “Fleet,” “Permitting,” “AFUDC,” “Land,” “Other,” and “Administrative &amp; General Costs” as defined in “Definitions of Other Misc Costs.” </t>
  </si>
  <si>
    <t>For the value for "Other Misc Costs", PG&amp;E is providing a per year average 2021 through 2024 costs for MATs 14A, 14D, and 50A. Depending on complexity and work scope, the life-cycle of projects can vary widely, with the major phases being project initiation, design and scoping, execution, documentation, mapping, and closeout. Therefore, each year, there are multiple projects that incur costs but that do not count as a completed unit. Any ratesetting activity should rely on the forecast presented in the General Rate Case (GRC). The value presented in this spreadsheet is different from the forecast methodology used in the GRC or other proceedings.</t>
  </si>
  <si>
    <t>B21</t>
  </si>
  <si>
    <t>Project planning period, for main programs</t>
  </si>
  <si>
    <t>Average days between the date that the project was identified for replacement and the date that replacement activities broke ground.</t>
  </si>
  <si>
    <t>For the value for "Project planning period, for main programs," PG&amp;E used the average days between the job creation and the earliest scheduled construction date associated with the job. PG&amp;E applied data validation rules to ensure data quality.</t>
  </si>
  <si>
    <t>Additional Information</t>
  </si>
  <si>
    <t>A7</t>
  </si>
  <si>
    <t>Both main and service and service-only replacement programs</t>
  </si>
  <si>
    <t>Annual pipeline replacement expenditures</t>
  </si>
  <si>
    <t>Total cost across gas distribution replacement programs. Sum of next table’s B5 and B15, final column.</t>
  </si>
  <si>
    <t>For the value for "Annual pipeline replacement expenditures", PG&amp;E is providing the "Total costs, for main and service replacement programs" and "Service-only program" on a per year average 2021 through 2024. Depending on complexity and work scope, the life-cycle of projects can vary widely, with the major phases being project initiation, design and scoping, execution, documentation, mapping, and closeout. Therefore, each year, there are multiple projects that incur costs but that do not count as a completed unit. Any ratesetting activity should rely on the forecast presented in the General Rate Case (GRC). The value presented in this spreadsheet is different from the forecast methodology used in the GRC or other proceedings.</t>
  </si>
  <si>
    <t>Additional Information on Regulator Station Replacement</t>
  </si>
  <si>
    <t>Da Anza</t>
  </si>
  <si>
    <t>E1</t>
  </si>
  <si>
    <t>Cost per service, for regulator station replacement</t>
  </si>
  <si>
    <r>
      <t>Average cost of replacing gas distribution regulator stations</t>
    </r>
    <r>
      <rPr>
        <sz val="12"/>
        <color rgb="FF000000"/>
        <rFont val="Book Antiqua"/>
        <family val="1"/>
      </rPr>
      <t>, per service. Calculated by dividing E9 by E7.</t>
    </r>
  </si>
  <si>
    <t>The values for "Cost per service , for regulator station replacement" were derived using recorded costs and units for medium-pressure regulator stations, a sub-set of all the projects in the Regulator Station Rebuild program (50C) from 2021 - 2024 (each year's value taken as is, values not escalated into 2024$ for the average calculation). Any ratesetting activity should rely on the forecast presented in the General Rate Case (GRC). The value presented in this spreadsheet is different from the forecast methodology used in GRC or other proceedings. Due to volumes of work differing by PG&amp;E operating districts (divisions), PG&amp;E provides a weighted average for this value in the last column.</t>
  </si>
  <si>
    <t>E2</t>
  </si>
  <si>
    <t>Cost per customer meter, for regulator station replacement</t>
  </si>
  <si>
    <r>
      <t>Average cost of replacing gas distribution regulator stations</t>
    </r>
    <r>
      <rPr>
        <sz val="12"/>
        <color rgb="FF000000"/>
        <rFont val="Book Antiqua"/>
        <family val="1"/>
      </rPr>
      <t>, per meter. Calculated by dividing E9 by E8.</t>
    </r>
  </si>
  <si>
    <t>The values for "Cost per customer meter, for regulator station replacement" were derived using recorded costs and units for medium-pressure regulator stations, a sub-set of all the projects in the Regulator Station Rebuild program (50C) from 2021 - 2024 (each year's value taken as is, values not escalated into 2024$ for the average calculation). Any ratesetting activity should rely on the forecast presented in the GRC. The value presented in this spreadsheet is different from the forecast methodology used in the GRC or other proceedings. For the total column, PG&amp;E provides a weighted average for this value due to volumes of work differing by PG&amp;E operating division. Due to volumes of work differing by PG&amp;E operating districts (divisions), PG&amp;E provides a weighted average for this value in the last column.</t>
  </si>
  <si>
    <t>E4</t>
  </si>
  <si>
    <t>Services per station, for replaced regulator stations</t>
  </si>
  <si>
    <t xml:space="preserve">Average number of services served by a replaced regulator station.  Calculated by dividing E7 by E6. </t>
  </si>
  <si>
    <t>Due to volumes of work differing by PG&amp;E operating districts (divisions), PG&amp;E provides a weighted average for this value in the last column.</t>
  </si>
  <si>
    <t>E5</t>
  </si>
  <si>
    <t>Meters per station, for replaced regulator stations</t>
  </si>
  <si>
    <t xml:space="preserve">Average number of meters served by a replaced regulator station.  Calculated by dividing E8 by E6. </t>
  </si>
  <si>
    <t>E6</t>
  </si>
  <si>
    <t>Regulator stations replaced per year</t>
  </si>
  <si>
    <t>Average regulator stations replaced per year.</t>
  </si>
  <si>
    <t>The value for "Regulator stations replaced per year"  was obtained as an average per year over 2021 to 2024  of the number of medium-pressure regulator stations [as clarified by the Commission in email dated Nov 26, 2025] in the 50C program (Regulator stations Rebuild) that had a unit capture. MAT 50C is tracking project/costs for all GD regulator stations, and as such only a sub-set is reported. Depending on complexity and work scope, the life-cycle of projects can vary widely, with the major phases being project initiation, design and scoping, execution, documentation, mapping, and closeout. Therefore, each year, there are multiple projects that incur costs but that do not count as a completed unit.</t>
  </si>
  <si>
    <t>E7</t>
  </si>
  <si>
    <t>Services affected by replaced regulator stations</t>
  </si>
  <si>
    <t>Average number of services served by replaced regulator stations.  In cases where a pressure district is served by more than one regulator station, include only the replaced regulator station’s share of the pressure district’s services in the calculation.</t>
  </si>
  <si>
    <t>The value for "Services affected by replaced regulator stations' was derived from a count of services per Hydraulically Independent System (HIS) as of October 2025 (i.e. not an average). In the case where an HIS includes multiple low-pressure or medium-pressure stations, the total count of services in that HIS were divided equally between the different stations. Values reported are the total number of services affected by the station replacement work completed in 2021-2024, divided by 4 to obtain an average per year.</t>
  </si>
  <si>
    <t>E8</t>
  </si>
  <si>
    <t>Meters affected by replaced regulator stations</t>
  </si>
  <si>
    <t>Average number of meters served by replaced regulator stations.  In cases where a pressure district is served by more than one regulator station, include only the replaced regulator station’s share of the pressure district’s meters in the calculation.</t>
  </si>
  <si>
    <t>The value for "Meters affected by replaced regulator stations", was derived from a count of meters per HIS as of October 2025 (i.e. not an average). In the case where an HIS includes multiple low-pressure or medium-pressure stations, the total count of meters in that HIS were divided equally between the different stations. Values reported are the total number of services affected by the station replacement work completed in 2021-2024, divided by 4 to average out per year.</t>
  </si>
  <si>
    <t>E9</t>
  </si>
  <si>
    <t>Total costs, for regulator station replacement</t>
  </si>
  <si>
    <t>Total costs of regulator station replacement program work orders. Calculated by summing E10, E11, E12 and E13.</t>
  </si>
  <si>
    <t>The value for "Total costs, for regulator station replacement" includes only the costs for medium-pressure distribution regulator stations incurred at the division-level. Programmatic costs affecting all divisions were not included, nor were costs for other stations such as HPR-type stations and low-pressure stations, per directions. Value calculated as E10 + E11 + E12 + E13. Any ratesetting activity should rely on the forecast presented in the GRC. The value presented in this spreadsheet is different from the forecast methodology used in the GRC or other proceedings.</t>
  </si>
  <si>
    <t>E14</t>
  </si>
  <si>
    <t>Project planning period, for regulator station replacement</t>
  </si>
  <si>
    <t>Average days between the date that the regulator station was identified for replacement and the date that replacement activities broke ground.</t>
  </si>
  <si>
    <t>For the value for "Project planning period, for regulator station replacement", PG&amp;E used the average days between the order creation and the start of construction as recorded by the program management team. This is calculated only for the projects with unit capture in 2021 to 2024. Due to volumes of work differing by PG&amp;E operating districts (divisions), PG&amp;E provides a weighted average for this value in the last column.</t>
  </si>
  <si>
    <t>The information portrayed in this spreadsheet for MATs 14D, 50A, and 50B includes Butte Rebuild costs and units that are excluded  the 2023 and 2027 General Rate Case pursuant to D.23-11-069. The Butte Rebuild costs and units are presented in a CEMA review proceeding.</t>
  </si>
  <si>
    <t>(a) The costs under "Systemwide" column are costs not allocated to a district in PG&amp;E's financial data system.</t>
  </si>
  <si>
    <t>PG&amp;E Pressure District Data</t>
  </si>
  <si>
    <t>Column ID</t>
  </si>
  <si>
    <t>F1</t>
  </si>
  <si>
    <t>F2</t>
  </si>
  <si>
    <t>F3</t>
  </si>
  <si>
    <t>F4</t>
  </si>
  <si>
    <t>F5</t>
  </si>
  <si>
    <t>F6</t>
  </si>
  <si>
    <t>F7</t>
  </si>
  <si>
    <t>F8</t>
  </si>
  <si>
    <t>F9</t>
  </si>
  <si>
    <t>F10</t>
  </si>
  <si>
    <t>F11</t>
  </si>
  <si>
    <t>F12</t>
  </si>
  <si>
    <t>Column Name</t>
  </si>
  <si>
    <t>Pressure district</t>
  </si>
  <si>
    <t>Services per regulator station</t>
  </si>
  <si>
    <t>Meters per regulator station</t>
  </si>
  <si>
    <t>Regulator stations identified for replacement</t>
  </si>
  <si>
    <t>Pressure category</t>
  </si>
  <si>
    <t>Services served</t>
  </si>
  <si>
    <t>Meters served</t>
  </si>
  <si>
    <t>Core meters served</t>
  </si>
  <si>
    <t>Non-core meters served</t>
  </si>
  <si>
    <t>Operating district</t>
  </si>
  <si>
    <t>Census tracts</t>
  </si>
  <si>
    <t>ID number for the pressure district.</t>
  </si>
  <si>
    <t>Average number of services served by regulator stations in the pressure district. Calculated by dividing F7 by F4.</t>
  </si>
  <si>
    <t>Average number of meters served by regulator stations in the pressure district. Calculated by dividing F8 by F4.</t>
  </si>
  <si>
    <t>Number of gas distribution regulator stations immediately serving the pressure district.</t>
  </si>
  <si>
    <r>
      <t>Regulator stations whose replacement is forecast to begin during the next ten years, identified consistent with each utility’s existing project selection methods, at an annual replacement rate consistent with the rates approved in each utility’s most recently adopted general rate case decision.</t>
    </r>
    <r>
      <rPr>
        <sz val="12"/>
        <color rgb="FF000000"/>
        <rFont val="Garamond"/>
        <family val="1"/>
      </rPr>
      <t xml:space="preserve">  </t>
    </r>
    <r>
      <rPr>
        <sz val="8"/>
        <color rgb="FF000000"/>
        <rFont val="Book Antiqua"/>
        <family val="1"/>
      </rPr>
      <t> </t>
    </r>
  </si>
  <si>
    <t>“Medium-pressure” or “low-pressure.”</t>
  </si>
  <si>
    <t>Number of customer services connected to the pressure district.</t>
  </si>
  <si>
    <t>Number of customer meters connected to the pressure district. Sum of F9 and F10.</t>
  </si>
  <si>
    <t>Number of core customer meters connected to the pressure district.</t>
  </si>
  <si>
    <t>Number of non-core customer meters connected to the pressure district.</t>
  </si>
  <si>
    <t>Name and ID number of the operating district that the pressure district is in.</t>
  </si>
  <si>
    <t>ID numbers of all 2020 census tracts overlapping the district.</t>
  </si>
  <si>
    <t>TBD</t>
  </si>
  <si>
    <t>Medium pressure</t>
  </si>
  <si>
    <t>6115041001</t>
  </si>
  <si>
    <t>6023001102</t>
  </si>
  <si>
    <t>6081613000</t>
  </si>
  <si>
    <t>6021010501</t>
  </si>
  <si>
    <t>6011000100, 6011000301</t>
  </si>
  <si>
    <t>6019005515</t>
  </si>
  <si>
    <t>6053010504</t>
  </si>
  <si>
    <t>6061023400, 6061023900</t>
  </si>
  <si>
    <t>Low pressure</t>
  </si>
  <si>
    <t>6001427100, 6001427200, 6001427300, 6001427600, 6001427700, 6001427800, 6001427900, 6001428000, 6001428100, 6001428200, 6001428400, 6001428500</t>
  </si>
  <si>
    <t>6001427100, 6001428100, 6001428200</t>
  </si>
  <si>
    <t>6001420100, 6001420200, 6001420301, 6001420302, 6001420401, 6001420500, 6001420600, 6001421100, 6001421200, 6001421300, 6001421400, 6001421500, 6001421600, 6001421700, 6001421800, 6001421900, 6001422000, 6001422100, 6001422200, 6001422400, 6001422500, 6013354001, 6013356002, 6013389100, 6013390200, 6013391000, 6013392000</t>
  </si>
  <si>
    <t>6095252904</t>
  </si>
  <si>
    <t>6013321103, 6013347000, 6013356002</t>
  </si>
  <si>
    <t>6089012000, 6089012101, 6089012102, 6089012200, 6089012301, 6089012303</t>
  </si>
  <si>
    <t>6055201700</t>
  </si>
  <si>
    <t>6067008127, 6067008128, 6067008129, 6067008130</t>
  </si>
  <si>
    <t>6069000100, 6069000200</t>
  </si>
  <si>
    <t>6011000100</t>
  </si>
  <si>
    <t>6023000900, 6023001001, 6023001002, 6023001102, 6023001103, 6023001200, 6023001300</t>
  </si>
  <si>
    <t>6067005402, 6067005502</t>
  </si>
  <si>
    <t>6053010102, 6069000200, 6087123300</t>
  </si>
  <si>
    <t>6047000503, 6047000504, 6047000505, 6047000601, 6047000602, 6047000603, 6047000701, 6047000702, 6047000801, 6047000802, 6047000904</t>
  </si>
  <si>
    <t>6047000702, 6047000903</t>
  </si>
  <si>
    <t>6047000505, 6047000702</t>
  </si>
  <si>
    <t>6061020300, 6061020401, 6061020402, 6061020502, 6061021501, 6061021502, 6061021603, 6061021604, 6061021801, 6061021802, 6061021902</t>
  </si>
  <si>
    <t>6039000301</t>
  </si>
  <si>
    <t>6031001702, 6031001703</t>
  </si>
  <si>
    <t>6039000510, 6039000517</t>
  </si>
  <si>
    <t>6029000102, 6029000201, 6029000202, 6029000300, 6029000400, 6029000507, 6029000601, 6029000602, 6029000603, 6029000701, 6029000702, 6029000800, 6029000902, 6029000903, 6029000904, 6029000905, 6029000906, 6029000907, 6029000908, 6029000909, 6029000911, 6029000912, 6029000913, 6029000914, 6029001001, 6029001002, 6029001003, 6029001101, 6029001104, 6029001105, 6029001106, 6029001107, 6029001201, 6029001202, 6029001301, 6029001302, 6029001401, 6029001402, 6029001500, 6029001600, 6029001700, 6029001801, 6029001804, 6029001901, 6029001902, 6029002001, 6029002002, 6029002100, 6029002201, 6029002202, 6029002302, 6029002303, 6029002304, 6029002305, 6029002401, 6029002402, 6029002403, 6029002501, 6029002502, 6029002503, 6029002600, 6029002701, 6029002702, 6029002807, 6029002811, 6029002813, 6029002814, 6029002815, 6029002816, 6029002817, 6029002818, 6029002819, 6029002820, 6029002821, 6029002822, 6029002823, 6029002825, 6029002901, 6029002902, 6029003001, 6029003002, 6029003103, 6029003112, 6029003113, 6029003124, 6029003125, 6029003126, 6029003127, 6029003128, 6029003129, 6029003130, 6029003131, 6029003132, 6029003133, 6029003134, 6029003136, 6029003137, 6029003207, 6029003208, 6029003209, 6029003210, 6029003211, 6029003214, 6029003215, 6029003216, 6029003217, 6029003218, 6029003219, 6029003220, 6029003222, 6029005103, 6029005104, 6029006201</t>
  </si>
  <si>
    <t>6029001201, 6029001202, 6029001301, 6029001302, 6029001401, 6029001301</t>
  </si>
  <si>
    <t>6001409000, 6001428301, 6001428302</t>
  </si>
  <si>
    <t>6013310000, 6013311000, 6013313203, 6013313204, 6013313205, 6013313206, 6013314102, 6013314103, 6013314105, 6013314106, 6013314200, 6013315000, 6013355201, 6013355202</t>
  </si>
  <si>
    <t>6115040902</t>
  </si>
  <si>
    <t>6029006009, 6029006010</t>
  </si>
  <si>
    <t>6095250502, 6095252102, 6095252104, 6095252105, 6095252106, 6095252107</t>
  </si>
  <si>
    <t>6095252102</t>
  </si>
  <si>
    <t>6095252000, 6095252102, 6095252107, 6095252108</t>
  </si>
  <si>
    <t>6001420401, 6001420402, 6001422000</t>
  </si>
  <si>
    <t>6007003600</t>
  </si>
  <si>
    <t>6019004100</t>
  </si>
  <si>
    <t>6053010306, 6053010400, 6053014601</t>
  </si>
  <si>
    <t>6077000802, 6077003900</t>
  </si>
  <si>
    <t>6029005600</t>
  </si>
  <si>
    <t>6081600100, 6081602300</t>
  </si>
  <si>
    <t>6089012701</t>
  </si>
  <si>
    <t>6007001400, 6007001500</t>
  </si>
  <si>
    <t>6007001500</t>
  </si>
  <si>
    <t>6055201900, 6055202000</t>
  </si>
  <si>
    <t>6007002800, 6007003002</t>
  </si>
  <si>
    <t>6067007426, 6067007427</t>
  </si>
  <si>
    <t>6087121801, 6087121802</t>
  </si>
  <si>
    <t>6013312000</t>
  </si>
  <si>
    <t>6103000800</t>
  </si>
  <si>
    <t>6099002302, 6099002303, 6099002304, 6099002401, 6099002402, 6099002503, 6099002504, 6099002505, 6099002506, 6099002602, 6099002603, 6099002604, 6099002605, 6099002701, 6099002702, 6099002901, 6099002903, 6099003002, 6099003003, 6099003004, 6099003100, 6099003603, 6099003608</t>
  </si>
  <si>
    <t>6007000103, 6007000401, 6007000102, 6007000103, 6007000104, 6007000201, 6007000202, 6007000300, 6007000401, 6007000403, 6007000404, 6007000501, 6007000502, 6007000601, 6007000603, 6007000604, 6007000700, 6007000800, 6007000901, 6007000903, 6007000904, 6007001000, 6007001100, 6007001200, 6007001300, 6007001400, 6007001500, 6007001602</t>
  </si>
  <si>
    <t>6007000601, 6007000603, 6007000700, 6007001000</t>
  </si>
  <si>
    <t>6039000204</t>
  </si>
  <si>
    <t>6039000204, 6039000301, 6039000302</t>
  </si>
  <si>
    <t>6081608800</t>
  </si>
  <si>
    <t>6007003700</t>
  </si>
  <si>
    <t>6113010401</t>
  </si>
  <si>
    <t>6013313204, 6013332000, 6013333101, 6013333102, 6013333200, 6013334001, 6013334006, 6013334007, 6013334008, 6013337100, 6013337300, 6013355107, 6013355202, 6013355306, 6013355307, 6013355308, 6013355309, 6013355310</t>
  </si>
  <si>
    <t>6097154100, 6097154201, 6097154202</t>
  </si>
  <si>
    <t>6011000200</t>
  </si>
  <si>
    <t>6029001402</t>
  </si>
  <si>
    <t>6023010701, 6023010702</t>
  </si>
  <si>
    <t>6011000200, 6011000500</t>
  </si>
  <si>
    <t>6013315000, 6013319001, 6013320001, 6013320003, 6013320004, 6013321101, 6013321102, 6013321103, 6013321200, 6013322000, 6013323000, 6013324002, 6013324003, 6013324004, 6013325000, 6013326000, 6013327001, 6013327002, 6013328000, 6013329000, 6013330000, 6013331000, 6013332000, 6013333200, 6013334001, 6013335000, 6013336101, 6013336103, 6013336104, 6013336201, 6013336202, 6013337100, 6013337201, 6013337202, 6013337300, 6013338101, 6013338102, 6013338201, 6013338203, 6013338204, 6013340001, 6013340003, 6013340004, 6013347000, 6013348000, 6013355202</t>
  </si>
  <si>
    <t>6095252205, 6095252206</t>
  </si>
  <si>
    <t>6103001000, 6103001000, 6103001101, 6103001102</t>
  </si>
  <si>
    <t>6053010702</t>
  </si>
  <si>
    <t>6089012200, 6089012303</t>
  </si>
  <si>
    <t>Central Coast, East Bay</t>
  </si>
  <si>
    <t>6013357000, 6013358000</t>
  </si>
  <si>
    <t>6029003220, 6029003222</t>
  </si>
  <si>
    <t>6029003213, 6029003823</t>
  </si>
  <si>
    <t>6085504601, 6085504700, 6085509108</t>
  </si>
  <si>
    <t>6085509201, 6085509202, 6085509302, 6085509303, 6085509403, 6085509500, 6085509600, 6085509700</t>
  </si>
  <si>
    <t>De Anza, San Jose</t>
  </si>
  <si>
    <t>6085502500, 6085500100, 6085500200, 6085500300, 6085500400, 6085500500, 6085500600, 6085500800, 6085500901, 6085500902, 6085501000, 6085501101, 6085501102, 6085501200, 6085501300, 6085501401, 6085501402, 6085501501, 6085501502, 6085501601, 6085501602, 6085501700, 6085501800, 6085501901, 6085501902, 6085502001, 6085502002, 6085502101, 6085502103, 6085502104, 6085502202, 6085502203, 6085502204, 6085502301, 6085502302, 6085502400, 6085502500, 6085502601, 6085502603, 6085502604, 6085502701, 6085502703, 6085502704, 6085502800, 6085502901, 6085502902, 6085502903, 6085502906, 6085502907, 6085502908, 6085502909, 6085502910, 6085503001, 6085503002, 6085503003, 6085503105, 6085503110, 6085503111, 6085503112, 6085503113, 6085503116, 6085503117, 6085503118, 6085503121, 6085503122, 6085503123, 6085503124, 6085503125, 6085503126, 6085503127, 6085503207, 6085503211, 6085503212, 6085503213, 6085503219, 6085503220, 6085503221, 6085503222, 6085503304, 6085503305, 6085503306, 6085503312, 6085503313, 6085503315, 6085503321, 6085503322, 6085503323, 6085503324, 6085503325, 6085503326, 6085503327, 6085503329, 6085503330, 6085503331, 6085503332, 6085503333, 6085503336, 6085503337, 6085503338, 6085503339, 6085503401, 6085503402, 6085503504, 6085503506, 6085503507, 6085503508, 6085503509, 6085503510, 6085503511, 6085503601, 6085503602, 6085503703, 6085503707, 6085503708, 6085503709, 6085503710, 6085503711, 6085503712, 6085503713, 6085503802, 6085503803, 6085503804, 6085503902, 6085503903, 6085504001, 6085504002, 6085504101, 6085504102, 6085504201, 6085504202, 6085504307, 6085504308, 6085504311, 6085504314, 6085504315, 6085504316, 6085504317, 6085504318, 6085504319, 6085504320, 6085504321, 6085504322, 6085504323, 6085504410, 6085504411, 6085504412, 6085504413, 6085504414, 6085504415, 6085504416, 6085504418, 6085504421, 6085504423, 6085504424, 6085504505, 6085504506, 6085504507, 6085504508, 6085504509, 6085504510, 6085504601, 6085504602, 6085504700, 6085504802, 6085504805, 6085504806, 6085504807, 6085504808, 6085504902, 6085504903, 6085505006, 6085505007, 6085505010, 6085505011, 6085505012, 6085505013, 6085505014, 6085505015, 6085505100, 6085505202, 6085505203, 6085505301, 6085505302, 6085505303, 6085505304, 6085505305, 6085505401, 6085505402, 6085505403, 6085505500, 6085505600, 6085505700, 6085505800, 6085505901, 6085505902, 6085506000, 6085506101, 6085506102, 6085506103, 6085506202, 6085506203, 6085506204, 6085506301, 6085506302, 6085506304, 6085506305, 6085506401, 6085506402, 6085506502, 6085506503, 6085506504, 6085506505, 6085506601, 6085506603, 6085506604, 6085506605, 6085506606, 6085506701, 6085506702, 6085506703, 6085506801, 6085506802, 6085506803, 6085506804, 6085506900, 6085507002, 6085507003, 6085507004, 6085507100, 6085507203, 6085507205, 6085507206, 6085507301, 6085507302, 6085507401, 6085507402, 6085507500, 6085507600, 6085507701, 6085507702, 6085507704, 6085507705, 6085507805, 6085507806, 6085507807, 6085507808, 6085507903, 6085507904, 6085507905, 6085507906, 6085508003, 6085508004, 6085508005, 6085508006, 6085508101, 6085508102, 6085508203, 6085508204, 6085508205, 6085508206, 6085508301, 6085508303, 6085508305, 6085508306, 6085508401, 6085508403, 6085508404, 6085508503, 6085508505, 6085508507, 6085508508, 6085508509, 6085508510, 6085508601, 6085508602, 6085508705, 6085508706, 6085508707, 6085508708, 6085508800, 6085509001, 6085509002, 6085509102, 6085509106, 6085509107, 6085509108, 6085509109, 6085509110, 6085509111, 6085509201, 6085509202, 6085509302, 6085509303, 6085509304, 6085509401, 6085509403, 6085509404, 6085509500, 6085509600, 6085509700, 6085509801, 6085509802, 6085509901, 6085509902, 6085510001, 6085510002, 6085510100, 6085510200, 6085510300, 6085510400, 6085510500, 6085510600, 6085510802, 6085511701, 6085511702, 6085511704, 6085511705, 6085511707, 6085511915, 6085511916, 6085512005, 6085512019, 6085512024, 6085512025, 6085512026</t>
  </si>
  <si>
    <t>6085504805, 6085504806, 6085504807, 6085508602, 6085508705, 6085508707, 6085508708, 6085508800, 6085508900, 6085509001, 6085509002</t>
  </si>
  <si>
    <t>Peninsula, San Francisco</t>
  </si>
  <si>
    <t>6075026403, 6075025800, 6075025900, 6075026201, 6075026302, 6075026303, 6075026401, 6075026402, 6075026403, 6075026404, 6075031302, 6075060502, 6075061000, 6075980501, 6081600100, 6081600200, 6081600300, 6081600401, 6081600402, 6081600501, 6081600502, 6081600600, 6081600701, 6081600702, 6081600800, 6081600900, 6081601000, 6081601100, 6081601200, 6081601301, 6081601302, 6081601400, 6081601501, 6081601502, 6081601601, 6081601603, 6081601604, 6081601605, 6081601800, 6081602601, 6081602602, 6081602700, 6081602800, 6081602900, 6081603000</t>
  </si>
  <si>
    <t>Diablo, East Bay, Mission</t>
  </si>
  <si>
    <t>6001421200, 6013304001, 6013307101, 6013334200, 6013337300, 6013338201, 6013338203, 6013338204, 6013338301, 6013338302, 6013339001, 6013339003, 6013339004, 6013340001, 6013340004, 6013341000, 6013343001, 6013343002, 6013343003, 6013345105, 6013345113, 6013345114, 6013345203, 6013345204, 6013345205, 6013346101, 6013346102, 6013346203, 6013346204, 6013346205, 6013346206, 6013348000, 6013349000, 6013350000, 6013351101, 6013351103, 6013351104, 6013351105, 6013351200, 6013352101, 6013352102, 6013352201, 6013352202, 6013353001, 6013353002, 6013354002, 6013355112, 6013355302, 6013334200, 6013351105</t>
  </si>
  <si>
    <t>6113010505, 6113010501, 6113010505, 6113010508, 6113010509, 6113010510, 6113010511, 6113010512, 6113010513, 6113010602, 6113010609, 6113010610, 6113010611, 6113010701, 6113010703, 6113010704, 6113011207, 6113011208, 6113011301</t>
  </si>
  <si>
    <t>North Bay, Sacramento</t>
  </si>
  <si>
    <t>6095253300, 6113010401, 6113010505, 6113010605, 6113010607, 6113010608, 6113010610</t>
  </si>
  <si>
    <t>6047000201, 6047000202, 6047000204, 6047000205</t>
  </si>
  <si>
    <t>6029005600, 6029006500</t>
  </si>
  <si>
    <t>6013302005, 6013302006, 6013302009, 6013302013, 6013305000, 6013306002, 6013306003, 6013306004, 6013307101, 6013307102, 6013307202, 6013308001, 6013308002, 6013312000, 6013355107, 6013355109, 6013355110, 6013355111</t>
  </si>
  <si>
    <t>6013302009, 6013303207, 6013308002, 6013355107, 6013355109, 6013355110, 6013355118, 6013355119, 6013355120</t>
  </si>
  <si>
    <t>6013307101, 6013307102, 6013307201, 6013307202, 6013307204, 6013307205, 6013313106, 6013355107</t>
  </si>
  <si>
    <t>6013303206, 6013303208, 6013304001</t>
  </si>
  <si>
    <t>6013304002, 6013304003, 6013304004, 6013304006, 6013304007, 6013355112</t>
  </si>
  <si>
    <t>6013309000, 6013310000, 6013311000, 6013312000</t>
  </si>
  <si>
    <t>6013311000, 6013312000, 6013313102, 6013313104, 6013313105, 6013313106, 6013313107, 6013313204, 6013313206</t>
  </si>
  <si>
    <t>6095253300, 6095253402, 6095253403, 6095253404</t>
  </si>
  <si>
    <t>6047002401, 6047002403, 6047002404</t>
  </si>
  <si>
    <t>6007002200, 6007002300</t>
  </si>
  <si>
    <t>6013314200, 6013315000</t>
  </si>
  <si>
    <t>6039000506</t>
  </si>
  <si>
    <t>6039000510, 6039001100</t>
  </si>
  <si>
    <t>6047002100</t>
  </si>
  <si>
    <t>6031001601</t>
  </si>
  <si>
    <t>6099003400</t>
  </si>
  <si>
    <t>6077004905</t>
  </si>
  <si>
    <t>6023000900</t>
  </si>
  <si>
    <t>6029005700</t>
  </si>
  <si>
    <t>6047000901</t>
  </si>
  <si>
    <t>6039000201</t>
  </si>
  <si>
    <t>6099003603</t>
  </si>
  <si>
    <t>6011000301</t>
  </si>
  <si>
    <t>6069000100, 6085513500</t>
  </si>
  <si>
    <t>6007001200, 6007001500</t>
  </si>
  <si>
    <t>6053014105, 6053014109</t>
  </si>
  <si>
    <t>6077005214, 6077005310, 6077005503, 6077980000</t>
  </si>
  <si>
    <t>6017030701, 6017030706, 6017030709, 6017030710, 6017030711, 6017030712, 6017030801, 6017030807, 6017030808, 6017031700, 6017031800</t>
  </si>
  <si>
    <t>6095252904, 6095252909</t>
  </si>
  <si>
    <t>6081611901, 6081611500, 6081611600, 6081611700, 6081611800, 6081611901, 6081611902, 6081612001, 6081612002, 6081612101, 6081612102, 6081612500, 6081613900, 6085511200, 6085511302</t>
  </si>
  <si>
    <t>6077004904, 6077004903, 6077004904, 6077004905, 6077004906</t>
  </si>
  <si>
    <t>6113011500</t>
  </si>
  <si>
    <t>6023000100, 6023000200, 6023000300, 6023000400, 6023000500, 6023000600, 6023000700, 6023000800, 6023010701, 6023010702</t>
  </si>
  <si>
    <t>6013315000</t>
  </si>
  <si>
    <t>6095252317, 6095252203, 6095252204, 6095252205, 6095252206, 6095252305, 6095252306, 6095252310, 6095252311, 6095252312, 6095252313, 6095252314, 6095252315, 6095252316, 6095252317, 6095252401, 6095252402, 6095252501, 6095252502, 6095252604, 6095252605, 6095252606, 6095252607, 6095252608, 6095252610, 6095252611, 6095252702, 6095252703, 6095252704, 6095252705, 6095252706, 6095252707, 6095252801, 6095253108</t>
  </si>
  <si>
    <t>6089012702</t>
  </si>
  <si>
    <t>6061023200, 6061023300</t>
  </si>
  <si>
    <t>6019008403, 6019008404, 6019008405, 6039001100</t>
  </si>
  <si>
    <t>Sacramento, Sierra</t>
  </si>
  <si>
    <t>6017030706, 6017031700, 6067008402, 6067008403, 6067008404, 6067008501, 6067008504, 6067008505, 6067008506, 6067008507, 6067008508, 6067008509, 6067008510, 6067008512, 6067008513, 6067988300</t>
  </si>
  <si>
    <t>6053014104, 6053014108, 6053014109</t>
  </si>
  <si>
    <t>6053014102, 6053014105, 6053014109</t>
  </si>
  <si>
    <t>6023010800, 6023010901, 6023010902, 6023011000</t>
  </si>
  <si>
    <t>6019001600, 6019001700, 6019007003, 6019007102, 6019007300</t>
  </si>
  <si>
    <t>6019001600</t>
  </si>
  <si>
    <t>6019000501, 6019000502, 6019002601, 6019002602</t>
  </si>
  <si>
    <t>6019000602, 6019001201, 6019001413, 6019002100, 6019002501, 6019002502, 6019003001, 6019003201, 6019003600, 6019003811, 6019004211, 6019004213, 6019004215, 6019004218, 6019004302, 6019005302, 6019005405, 6019005503, 6019005504, 6019005507, 6019005514, 6019005518, 6019005522, 6019005524, 6019005527, 6019005802, 6019005805, 6019005907, 6019005911, 6019005912, 6019006001, 6019000100, 6019000200, 6019000300, 6019000400, 6019000501, 6019000502, 6019000601, 6019000602, 6019000701, 6019000702, 6019000901, 6019000902, 6019001000, 6019001100, 6019001201, 6019001202, 6019001301, 6019001303, 6019001304, 6019001407, 6019001408, 6019001409, 6019001411, 6019001412, 6019001413, 6019001415, 6019001416, 6019001417, 6019001418, 6019001500, 6019001600, 6019001700, 6019001800, 6019002000, 6019002100, 6019002200, 6019002300, 6019002400, 6019002501, 6019002502, 6019002601, 6019002602, 6019002701, 6019002702, 6019002800, 6019002903, 6019002904, 6019002905, 6019002906, 6019003001, 6019003003, 6019003004, 6019003102, 6019003103, 6019003104, 6019003201, 6019003202, 6019003301, 6019003302, 6019003401, 6019003402, 6019003500, 6019003600, 6019003701, 6019003702, 6019003804, 6019003805, 6019003807, 6019003808, 6019003809, 6019003810, 6019003811, 6019003812, 6019003900, 6019004100, 6019004205, 6019004208, 6019004210, 6019004211, 6019004212, 6019004213, 6019004214, 6019004215, 6019004216, 6019004217, 6019004218, 6019004301, 6019004302, 6019004303, 6019004404, 6019004405, 6019004406, 6019004409, 6019004410, 6019004411, 6019004503, 6019004504, 6019004505, 6019004506, 6019004601, 6019004602, 6019004703, 6019004704, 6019004705, 6019004706, 6019004801, 6019004802, 6019004901, 6019004902, 6019005000, 6019005100, 6019005202, 6019005203, 6019005204, 6019005301, 6019005302, 6019005304, 6019005305, 6019005403, 6019005405, 6019005406, 6019005407, 6019005408, 6019005409, 6019005410, 6019005503, 6019005504, 6019005505, 6019005507, 6019005508, 6019005509, 6019005512, 6019005513, 6019005514, 6019005516, 6019005518, 6019005520, 6019005522, 6019005524, 6019005525, 6019005526, 6019005527, 6019005528, 6019005529, 6019005602, 6019005605, 6019005606, 6019005607, 6019005608, 6019005701, 6019005702, 6019005703, 6019005704, 6019005801, 6019005802, 6019005804, 6019005805, 6019005904, 6019005907, 6019005911, 6019005912, 6019005913, 6019005914, 6019005915, 6019005916, 6019006001, 6019006002, 6019006101, 6019006102, 6019006201, 6019006202, 6019007600, 6019008600</t>
  </si>
  <si>
    <t>6019000200, 6019000300</t>
  </si>
  <si>
    <t>6067009403, 6067009408, 6067009409, 6067009410, 6067009501, 6067009502, 6067009503, 6067009504</t>
  </si>
  <si>
    <t>6103000800, 6103000900</t>
  </si>
  <si>
    <t>6097154100</t>
  </si>
  <si>
    <t>6085512603, 6085512604</t>
  </si>
  <si>
    <t>6097150303, 6097150501, 6097150502</t>
  </si>
  <si>
    <t>6053010804, 6053014800</t>
  </si>
  <si>
    <t>6029003212, 6029003221</t>
  </si>
  <si>
    <t>6057000104, 6057000300, 6057000502, 6057000503, 6057000504, 6057000601, 6057000602, 6057000701, 6057000702, 6057000801, 6057000802</t>
  </si>
  <si>
    <t>6057000502, 6057000503, 6057000504, 6057000602, 6057000702</t>
  </si>
  <si>
    <t>6097153405, 6097153601, 6097153602, 6097153705, 6097153711, 6097153712</t>
  </si>
  <si>
    <t>6053011202, 6053011203, 6053011204</t>
  </si>
  <si>
    <t>6007003300, 6007003400, 6007003502, 6007003600</t>
  </si>
  <si>
    <t>6007003400, 6007003501, 6007003502</t>
  </si>
  <si>
    <t>6047002001, 6047002002</t>
  </si>
  <si>
    <t>6081613501, 6081613502, 6081613600, 6081613701, 6081613702</t>
  </si>
  <si>
    <t>6041104200, 6041105001, 6041105002</t>
  </si>
  <si>
    <t>6097153902, 6097153903, 6097153904, 6097153905, 6097154000</t>
  </si>
  <si>
    <t>6013356002, 6013359104, 6013359203, 6013359204</t>
  </si>
  <si>
    <t>6013356001, 6013358000, 6013359104, 6013359105, 6013359203, 6013392300</t>
  </si>
  <si>
    <t>6055201003, 6095250106, 6095252205, 6095252206</t>
  </si>
  <si>
    <t>6013364002, 6013365003, 6013367100, 6013367200</t>
  </si>
  <si>
    <t>6013392201</t>
  </si>
  <si>
    <t>6047000403, 6047000404</t>
  </si>
  <si>
    <t>6069000300, 6053000106, 6069000100, 6069000200, 6069000300, 6069000400, 6069000501, 6069000502, 6069000601, 6069000602, 6069000701, 6069000702, 6069000801, 6069000802</t>
  </si>
  <si>
    <t>6045011800</t>
  </si>
  <si>
    <t>6099003300, 6099003400</t>
  </si>
  <si>
    <t>6099002901, 6099002903, 6099002904</t>
  </si>
  <si>
    <t>6019007801, 6019007802</t>
  </si>
  <si>
    <t>6023000800, 6023000900, 6023010600</t>
  </si>
  <si>
    <t>6005000301, 6005000303</t>
  </si>
  <si>
    <t>6005000201, 6005000303, 6005000304, 6005000401, 6005000402, 6005000500</t>
  </si>
  <si>
    <t>6077004105, 6077004106, 6077004600, 6077004703</t>
  </si>
  <si>
    <t>6095252317</t>
  </si>
  <si>
    <t>6055200900, 6055201005</t>
  </si>
  <si>
    <t>6019004003, 6019004004, 6019004005, 6019004006</t>
  </si>
  <si>
    <t>6053011302, 6053011303, 6053011305, 6053011306</t>
  </si>
  <si>
    <t>6027000800, 6071008901</t>
  </si>
  <si>
    <t>6053013100, 6053013200</t>
  </si>
  <si>
    <t>6087122203, 6087122205, 6087122300</t>
  </si>
  <si>
    <t>6067009618</t>
  </si>
  <si>
    <t>6077005213, 6077005223, 6077005225</t>
  </si>
  <si>
    <t>6053010101, 6053010102, 6053010202, 6053014601</t>
  </si>
  <si>
    <t>6077003803, 6077005106, 6077005108, 6077005109, 6077005119, 6077005122, 6077005123, 6077005124, 6077005125, 6077005126, 6077005127, 6077005129, 6077005130, 6077005131, 6077005132, 6077005133, 6077005134, 6077005135, 6077005136, 6077005137, 6077005138, 6077005139, 6077005140, 6077005141, 6077005214</t>
  </si>
  <si>
    <t>6097151601, 6097151602</t>
  </si>
  <si>
    <t>6061021304, 6061021401, 6061021403, 6061023300, 6061023400, 6061023502, 6061023700, 6061023800, 6061023900</t>
  </si>
  <si>
    <t>6115040301, 6115040302, 6115040304, 6115040305, 6115040400, 6115040701, 6115040702, 6115040901</t>
  </si>
  <si>
    <t>6101050701, 6101050702</t>
  </si>
  <si>
    <t>6047000301</t>
  </si>
  <si>
    <t>6047000301, 6047000305, 6047000306</t>
  </si>
  <si>
    <t>6077004004, 6077004104, 6077004105, 6077004106, 6077004107, 6077004108, 6077004202, 6077004203, 6077004204, 6077004205, 6077004206, 6077004302, 6077004305, 6077004307, 6077004308, 6077004309, 6077004310, 6077004402, 6077004403, 6077004404, 6077004501, 6077004502, 6077004600, 6077004701, 6077004704</t>
  </si>
  <si>
    <t>6077004204, 6077004302, 6077004403, 6077004404</t>
  </si>
  <si>
    <t>6077004001, 6077004106</t>
  </si>
  <si>
    <t>6077004106, 6077004108</t>
  </si>
  <si>
    <t>6077004600</t>
  </si>
  <si>
    <t>6077004104, 6077004105</t>
  </si>
  <si>
    <t>6081606900</t>
  </si>
  <si>
    <t>6047002100, 6047002201, 6047002203, 6047002204, 6047002301, 6047002303, 6047002304, 6047002305, 6047002306</t>
  </si>
  <si>
    <t>6011000400</t>
  </si>
  <si>
    <t>6039000510, 6039000511, 6039000512, 6039000514, 6039000515, 6039000517, 6039000518, 6039000602, 6039000603, 6039000604, 6039000701, 6039000702, 6039000801, 6039000802, 6039000901, 6039000902, 6039000903, 6039001100</t>
  </si>
  <si>
    <t>6039000102, 6039000509, 6039001100</t>
  </si>
  <si>
    <t>6039000802</t>
  </si>
  <si>
    <t>6039000513, 6039000515, 6039000602, 6039000701</t>
  </si>
  <si>
    <t>6077005004, 6077005106</t>
  </si>
  <si>
    <t>6005000303</t>
  </si>
  <si>
    <t>6029003303</t>
  </si>
  <si>
    <t>North Bay, Sonoma</t>
  </si>
  <si>
    <t>6041124200, 6041106001, 6041107000, 6041108100, 6041108201, 6041108202, 6041109001, 6041109002, 6041110100, 6041110200, 6041111001, 6041111002, 6041112100, 6041112202, 6041112203, 6041112204, 6041114100, 6041114200, 6041115000, 6041116000, 6041117000, 6041118100, 6041119100, 6041119201, 6041119202, 6041120001, 6041120002, 6041121100, 6041121200, 6041123000, 6041124100, 6041124200, 6041125000, 6041126100, 6041126200, 6041127000, 6041128100, 6041128200, 6041129000, 6041130201, 6041130203, 6041130204, 6041131100</t>
  </si>
  <si>
    <t>6041106002, 6041106001, 6041106002</t>
  </si>
  <si>
    <t>6041121200, 6041122000</t>
  </si>
  <si>
    <t>6053014102, 6053014104, 6053014105, 6053014201, 6053014202, 6053014301, 6053014302</t>
  </si>
  <si>
    <t>6095253501, 6095253501, 6095253502</t>
  </si>
  <si>
    <t>6013316000, 6013317000, 6013318000, 6013319001, 6013319002, 6013320001, 6013321101, 6013321102, 6013321103, 6013356002</t>
  </si>
  <si>
    <t>6115040100, 6115040100, 6115040201, 6115040202</t>
  </si>
  <si>
    <t>6067007301</t>
  </si>
  <si>
    <t>6087122100</t>
  </si>
  <si>
    <t>6023001102, 6023001200, 6023001300, 6023010300, 6023010400, 6023010502, 6023010503, 6023010504</t>
  </si>
  <si>
    <t>6019008301, 6019008303, 6019008304</t>
  </si>
  <si>
    <t>6047000901, 6047000903, 6047001003, 6047001004, 6047001005, 6047001006, 6047001007, 6047001008, 6047001101, 6047001200, 6047001301, 6047001302, 6047001401, 6047001402, 6047001501, 6047001502, 6047001503, 6047001601, 6047001603, 6047001604, 6047001700, 6047001801, 6047001901, 6047002500, 6047002601, 6047002602</t>
  </si>
  <si>
    <t>6047000903, 6047000904, 6047001008, 6047002500</t>
  </si>
  <si>
    <t>6047001301, 6047001302</t>
  </si>
  <si>
    <t>6053014700</t>
  </si>
  <si>
    <t>6085512305, 6085512308, 6085512310, 6085512401, 6085512505, 6085512510, 6085512603, 6085512604, 6085512100, 6085512200, 6085512305, 6085512307, 6085512308, 6085512309, 6085512310, 6085512311, 6085512312, 6085512313, 6085512314, 6085512401, 6085512402, 6085512505, 6085512509, 6085512510, 6085512511, 6085512512, 6085512513, 6085512514, 6085512515, 6085512516, 6085512602, 6085512603, 6085512604, 6085513500</t>
  </si>
  <si>
    <t>6023000800, 6023010600</t>
  </si>
  <si>
    <t>6099001200, 6099001800</t>
  </si>
  <si>
    <t>6099001601, 6099001700, 6099002200</t>
  </si>
  <si>
    <t>6099000403, 6099000404, 6099000405, 6099000407, 6099000501, 6099000503, 6099000505, 6099000506, 6099000511, 6099000512, 6099000513, 6099000601, 6099000602, 6099000801, 6099000803, 6099000805, 6099000806, 6099000807, 6099000905, 6099000906, 6099000907, 6099000908, 6099000909, 6099000910, 6099000911, 6099000913, 6099000914, 6099000915, 6099001001, 6099001002, 6099001100, 6099001200, 6099001300, 6099001400, 6099001500, 6099001601, 6099001603, 6099001604, 6099001700, 6099001800, 6099001900, 6099002002, 6099002004, 6099002005, 6099002006, 6099002100, 6099002200, 6099002801, 6099002802, 6099002803, 6099002901, 6099002904, 6099003003, 6099004000</t>
  </si>
  <si>
    <t>6053011001, 6053011002, 6053011604, 6053011605, 6053011606, 6053011700, 6053011801, 6053011802, 6053011901, 6053011902, 6053012000, 6053012100, 6053012200, 6053012302, 6053012503, 6053012504, 6053012601, 6053012700, 6053012800, 6053013000, 6053013100, 6053013200, 6053013300, 6053013400, 6053013500, 6053013600, 6053013700, 6053013800, 6053013900, 6053014000, 6053014108</t>
  </si>
  <si>
    <t>6053013000</t>
  </si>
  <si>
    <t>Diablo, Stockton</t>
  </si>
  <si>
    <t>6001451104, 6013304002, 6077005221, 6077005222, 6077005223</t>
  </si>
  <si>
    <t>North Valley, Sierra</t>
  </si>
  <si>
    <t>6007003502, 6101050701</t>
  </si>
  <si>
    <t>6101050702</t>
  </si>
  <si>
    <t>6101050603, 6101050702</t>
  </si>
  <si>
    <t>6101051000</t>
  </si>
  <si>
    <t>6001400100, 6001982100, 6001400100, 6001400200, 6001400300, 6001400400, 6001400500, 6001400600, 6001400700, 6001400800, 6001400900, 6001401000, 6001401100, 6001401200, 6001401300, 6001401400, 6001401500, 6001401600, 6001401700, 6001401800, 6001402200, 6001402400, 6001402500, 6001402600, 6001402700, 6001402801, 6001402802, 6001402900, 6001403000, 6001403100, 6001403301, 6001403302, 6001403501, 6001404000, 6001404200, 6001404300, 6001404400, 6001410500, 6001420100, 6001420200, 6001420500, 6001421100, 6001421200, 6001421300, 6001421700, 6001421800, 6001421900, 6001422000, 6001422100, 6001422200, 6001422300, 6001422400, 6001422500, 6001422700, 6001422800, 6001422901, 6001422902, 6001423000, 6001423100, 6001423200, 6001423300, 6001423400, 6001423500, 6001423601, 6001423602, 6001423700, 6001423800, 6001423901, 6001423902, 6001424001, 6001424002, 6001425102, 6001425103, 6001425104, 6001981900, 6001982000, 6001982100, 6001983200, 6013389200</t>
  </si>
  <si>
    <t>6021010502</t>
  </si>
  <si>
    <t>6055201005</t>
  </si>
  <si>
    <t>6055200201, 6055200202, 6055200203, 6055200501, 6055200503, 6055200504, 6055200505, 6055200602, 6055200802, 6055200803, 6055200804</t>
  </si>
  <si>
    <t>6055200501, 6055200501, 6055200504, 6055200601, 6055200602, 6055201200</t>
  </si>
  <si>
    <t>6055200202, 6055200301, 6055200302, 6055200400, 6055200503, 6055200900, 6055201003, 6055201401, 6055201402</t>
  </si>
  <si>
    <t>6055200703, 6055200704, 6055200705, 6055200706, 6055200707, 6055200803, 6055200804, 6055201101, 6055201102, 6055201200</t>
  </si>
  <si>
    <t>6067007001, 6067007007, 6067007010, 6067007011, 6067007012, 6067007013, 6067007021, 6067007022, 6067007023, 6067007024</t>
  </si>
  <si>
    <t>6067007001, 6067007016, 6067007017, 6067007019, 6067007025, 6067007026, 6067007027, 6067007028, 6067007101, 6067007103, 6067007105, 6067007106, 6067007107, 6067007108, 6067007109, 6067007110, 6067007111</t>
  </si>
  <si>
    <t>6067007010, 6067007020</t>
  </si>
  <si>
    <t>6067007101, 6067007107</t>
  </si>
  <si>
    <t>6057000801, 6057000802</t>
  </si>
  <si>
    <t>6047002001, 6099003400, 6099003501, 6099003502</t>
  </si>
  <si>
    <t>6061020601, 6061020605, 6061020606, 6061020710, 6061020908, 6061021327, 6061022500, 6067005402, 6067005403, 6067005404, 6067005502, 6067005505, 6067005506, 6067005508, 6067005509, 6067005510, 6067005601, 6067005605, 6067005606, 6067005701, 6067005702, 6067005801, 6067005803, 6067005804, 6067005901, 6067005903, 6067005904, 6067006002, 6067006003, 6067006004, 6067006101, 6067006102, 6067006202, 6067006203, 6067006204, 6067006300, 6067006400, 6067006501, 6067006502, 6067006600, 6067006703, 6067006704, 6067006705, 6067006706, 6067006801, 6067006802, 6067006803, 6067006901, 6067006902, 6067007001, 6067007007, 6067007019, 6067007101, 6067007106, 6067007202, 6067007204, 6067007206, 6067007207, 6067007208, 6067007209, 6067007301, 6067007402, 6067007403, 6067007413, 6067007414, 6067007415, 6067007416, 6067007417, 6067007422, 6067007423, 6067007424, 6067007426, 6067007427, 6067007428, 6067007429, 6067007430, 6067007431, 6067007432, 6067007434, 6067007435, 6067007436, 6067007437, 6067007438, 6067007439, 6067007501, 6067007503, 6067007504, 6067007602, 6067007603, 6067007604, 6067007701, 6067007702, 6067007801, 6067007802, 6067007903, 6067007904, 6067007905, 6067007906, 6067008005, 6067008006, 6067008007, 6067008008, 6067008009, 6067008010, 6067008117, 6067008119, 6067008120, 6067008122, 6067008130, 6067008131, 6067008133, 6067008134, 6067008135, 6067008136, 6067008137, 6067008138, 6067008139, 6067008141, 6067008144, 6067008145, 6067008203, 6067008204, 6067008206, 6067008207, 6067008208, 6067008209, 6067008210, 6067008211, 6067008702, 6067008912</t>
  </si>
  <si>
    <t>6039000513</t>
  </si>
  <si>
    <t>6041101100, 6041101200, 6041102100, 6041102202, 6041102203, 6041103100, 6041103200, 6041104102, 6041104103, 6041104104, 6041104200, 6041104300, 6041105001, 6041105002, 6041133000</t>
  </si>
  <si>
    <t>6099000102, 6099000201, 6099000202, 6099000204, 6099000205</t>
  </si>
  <si>
    <t>6099000201, 6099000202, 6099000204, 6099000205</t>
  </si>
  <si>
    <t>6099000102, 6099000201, 6099000202, 6099000301, 6099000302, 6099000303, 6099000304, 6099000403, 6099000404, 6099000405, 6099000406, 6099000407</t>
  </si>
  <si>
    <t>Diablo, East Bay</t>
  </si>
  <si>
    <t>6001400100, 6001404200, 6001404300, 6001404400, 6001404502, 6001404600, 6001404700, 6001408000, 6001408100, 6001430102, 6013352202, 6013353001</t>
  </si>
  <si>
    <t>6001408000, 6001408100, 6001409800, 6001409900, 6001410000, 6001410100, 6001430102</t>
  </si>
  <si>
    <t>6001400200, 6001400300, 6001400400, 6001400500, 6001400600, 6001400700, 6001400800, 6001400900, 6001401000, 6001401100, 6001401200, 6001401300, 6001401400, 6001401500, 6001401600, 6001402700, 6001403501, 6001421800, 6001421900, 6001422100, 6001422200, 6001422300, 6001422400, 6001422901, 6001422902, 6001423000, 6001423100, 6001423400, 6001423500, 6001423601, 6001423602, 6001423901, 6001423902, 6001424001, 6001424002, 6001425103, 6001425104</t>
  </si>
  <si>
    <t>East Bay, Mission</t>
  </si>
  <si>
    <t>6001433300, 6001433400, 6001403302, 6001405700, 6001405800, 6001405902, 6001406000, 6001406100, 6001406202, 6001406400, 6001407300, 6001407400, 6001407500, 6001408600, 6001408700, 6001408800, 6001408900, 6001409000, 6001409100, 6001409200, 6001409300, 6001409400, 6001409500, 6001409600, 6001410000, 6001410200, 6001410300, 6001410400, 6001427100, 6001427200, 6001427300, 6001427600, 6001427700, 6001427800, 6001427900, 6001428000, 6001428100, 6001428200, 6001428400, 6001428500, 6001428600, 6001428700, 6001430101, 6001430102, 6001430200, 6001430300, 6001430400, 6001430500, 6001430600, 6001430700, 6001430800, 6001430900, 6001431000, 6001431100, 6001431200, 6001432100, 6001432200, 6001432300, 6001432400, 6001432501, 6001432502, 6001432601, 6001432602, 6001432700, 6001432800, 6001433000, 6001433102, 6001433103, 6001433104, 6001433200, 6001433300, 6001433400, 6001433500, 6001433600, 6001433700, 6001433801, 6001433802, 6001433900, 6001434000, 6001435102, 6001435103, 6001435104, 6001435200, 6001435300, 6001435400, 6001435500, 6001435601, 6001435602, 6001435700, 6001435800, 6001435900, 6001436000, 6001436100, 6001436200, 6001436301, 6001436302, 6001436402, 6001436403, 6001436404, 6001436500, 6001436601, 6001436602, 6001436700, 6001436800, 6001436900, 6001437000, 6001437101, 6001437102, 6001437200, 6001437300, 6001437400, 6001437500, 6001437600, 6001437701, 6001437702, 6001437800, 6001437900, 6001438000, 6001438100, 6001438201, 6001438203, 6001438204, 6001438300, 6001438400, 6001440100, 6001440200, 6001440301, 6001440304, 6001440305, 6001440306, 6001440307, 6001440308, 6001440331, 6001440332, 6001440333, 6001440334, 6001440336, 6001440337, 6001440338, 6001441100, 6001441200, 6001441301, 6001441302, 6001441401, 6001441402, 6001441501, 6001441503, 6001441521, 6001441522, 6001441523, 6001441524, 6001441601, 6001441602, 6001441701, 6001441702, 6001441800, 6001441921, 6001441923, 6001441924, 6001441926, 6001441927, 6001441928, 6001441929, 6001442000, 6001442400, 6001442501, 6001442502, 6001442601, 6001442602, 6001442700, 6001442800, 6001442900, 6001444100, 6001444200, 6001444301, 6001444304, 6001444400, 6001444500, 6001444601, 6001444602, 6001450601</t>
  </si>
  <si>
    <t>6001407500, 6001408600, 6001408700</t>
  </si>
  <si>
    <t>6001405700, 6001405800, 6001405901, 6001405902, 6001406000, 6001406100, 6001406201, 6001406202, 6001406300, 6001406400, 6001406500, 6001406601, 6001406602, 6001407000, 6001407101, 6001407102, 6001407200, 6001407400, 6001407600</t>
  </si>
  <si>
    <t>6001400100, 6001400200, 6001400300, 6001401200, 6001401300, 6001401400, 6001401500, 6001401600, 6001402400, 6001402600, 6001402700, 6001402801, 6001402802, 6001402900, 6001403000, 6001403100, 6001403301, 6001403302, 6001403401, 6001403402, 6001403501, 6001403502, 6001403600, 6001403701, 6001403702, 6001403800, 6001403900, 6001404000, 6001404101, 6001404102, 6001404200, 6001404300, 6001404400, 6001404501, 6001404502, 6001404700, 6001404800, 6001404900, 6001405000, 6001405100, 6001405200, 6001405301, 6001405302, 6001405401, 6001405402, 6001405500, 6001405600, 6001405700, 6001405800, 6001405901, 6001405902, 6001406000, 6001406100, 6001406201, 6001406202, 6001406300, 6001406400, 6001406500, 6001406601, 6001406602, 6001406700, 6001406800, 6001406900, 6001407000, 6001407101, 6001407102, 6001407200, 6001407300, 6001407400, 6001407500, 6001407600, 6001407700, 6001407800, 6001407900, 6001408000, 6001408100, 6001408200, 6001408300, 6001408400, 6001408500, 6001408600, 6001408700, 6001408800, 6001408900, 6001409300, 6001409400, 6001409500, 6001409600, 6001409700, 6001409800, 6001409900, 6001410100, 6001410200, 6001410300, 6001410400, 6001422700, 6001422800, 6001423700, 6001423800, 6001426100, 6001426200, 6001432100, 6001432200, 6001432300, 6001432601, 6001432602, 6001432700, 6001433000, 6001433104, 6001982000, 6001982100</t>
  </si>
  <si>
    <t>6001401700, 6001401800, 6001402200, 6001410500</t>
  </si>
  <si>
    <t>6097151601, 6097151602, 6097152501, 6097152602</t>
  </si>
  <si>
    <t>6001425102</t>
  </si>
  <si>
    <t>6115040400, 6115040500, 6115040600, 6115040702, 6115040901</t>
  </si>
  <si>
    <t>6053013200, 6053013300</t>
  </si>
  <si>
    <t>6013348000, 6013353001, 6013353002, 6013354001, 6013354002</t>
  </si>
  <si>
    <t>6021010200, 6021010501</t>
  </si>
  <si>
    <t>6021010101, 6021010102, 6021010200</t>
  </si>
  <si>
    <t>6007002500, 6007002602, 6007002700, 6007002800, 6007002900, 6007003001, 6007003002, 6007003100, 6007003200, 6007003300, 6007003700</t>
  </si>
  <si>
    <t>6007002800, 6007003001, 6007003002</t>
  </si>
  <si>
    <t>6053011902, 6053012100, 6053012200, 6053012302, 6053012401, 6053012402, 6053012503, 6053012504</t>
  </si>
  <si>
    <t>111007-1</t>
  </si>
  <si>
    <t>6075026303, 6081600100, 6081600600, 6081600701, 6081600702, 6081601301, 6081601302, 6081601601, 6081601603, 6081601604, 6081601700, 6081601800, 6081601901, 6081601902, 6081602001, 6081602002, 6081602201, 6081602202, 6081602300, 6081602400, 6081602500, 6081602601, 6081602602, 6081602700, 6081603000, 6081603100, 6081603200, 6081603300, 6081603400, 6081603700, 6081603801, 6081603802, 6081603900, 6081604000, 6081604102, 6081604103, 6081604104, 6081604200, 6081604400, 6081604500, 6081604600, 6081604700, 6081604800, 6081604900, 6081605000, 6081605100, 6081605200, 6081605300, 6081605400, 6081605501, 6081605502, 6081605600, 6081605800, 6081605901, 6081606300, 6081606400, 6081606500, 6081613501, 6081614000</t>
  </si>
  <si>
    <t>111007-2</t>
  </si>
  <si>
    <t>6081602300, 6081604500, 6081608300, 6081604700, 6081606100, 6081606400, 6081606600, 6081607200, 6081607300, 6081607400, 6081607500, 6081607600, 6081607702, 6081607800, 6081607900, 6081608001, 6081608002, 6081608013, 6081608023, 6081608024, 6081608025, 6081608100, 6081608200, 6081608300, 6081608400, 6081608501, 6081608600, 6081608700, 6081609000, 6081609100, 6081609201, 6081609202, 6081609300, 6081610303, 6081610304</t>
  </si>
  <si>
    <t>6007001800, 6007001900, 6007002000, 6007002100, 6007002200, 6007002300</t>
  </si>
  <si>
    <t>6099003201, 6099003203, 6099003204, 6099003205, 6099003206, 6099003300</t>
  </si>
  <si>
    <t>6011000500, 6021010502</t>
  </si>
  <si>
    <t>6081608600, 6081608900, 6081611400, 6081611500, 6081605000, 6081605100, 6081605200, 6081605300, 6081605400, 6081605501, 6081605502, 6081605600, 6081605700, 6081605800, 6081605901, 6081605902, 6081606000, 6081606100, 6081606201, 6081606202, 6081606300, 6081606400, 6081606500, 6081606600, 6081606700, 6081606800, 6081606900, 6081607000, 6081607100, 6081607200, 6081607300, 6081607400, 6081607500, 6081607600, 6081607701, 6081607702, 6081607800, 6081608501, 6081608502, 6081608600, 6081608700, 6081608800, 6081608900, 6081609000, 6081609100, 6081609201, 6081609202, 6081609300, 6081609400, 6081609500, 6081609601, 6081609602, 6081609603, 6081609700, 6081609800, 6081609900, 6081610000, 6081610100, 6081610201, 6081610202, 6081610203, 6081610302, 6081610400, 6081610500, 6081610601, 6081610602, 6081610700, 6081610800, 6081610901, 6081610902, 6081611000, 6081611100, 6081611200, 6081611300, 6081611400, 6081611500, 6081611600, 6081611700, 6081612500, 6081612600, 6081612700, 6081612800, 6081612900, 6081613000, 6081613300, 6081613400, 6085511705</t>
  </si>
  <si>
    <t>6013360101, 6013356002, 6013359102, 6013359103, 6013359104, 6013359202, 6013360101, 6013360102, 6013360200, 6013361000, 6013363000, 6013364002, 6013392201, 6013392202</t>
  </si>
  <si>
    <t>6013305000, 6013307202, 6013309000, 6013312000</t>
  </si>
  <si>
    <t>6001451202</t>
  </si>
  <si>
    <t>6001451103</t>
  </si>
  <si>
    <t>6001450601, 6001450603, 6001450604, 6001450605, 6001450606, 6001450607, 6001450608, 6001450609, 6001450701, 6001450741, 6001450742, 6001450743, 6001450744, 6001450745, 6001450746, 6001450751, 6001450752, 6001451102, 6001451103, 6001451104, 6001451201, 6001451202, 6001451300, 6001451401, 6001451403, 6001451404, 6001451501, 6001451503, 6001451504, 6001451505, 6001451506, 6001451601, 6001451602, 6001451701, 6001451703, 6001451704</t>
  </si>
  <si>
    <t>6115040701</t>
  </si>
  <si>
    <t>6013378000</t>
  </si>
  <si>
    <t>6053010606, 6053014800</t>
  </si>
  <si>
    <t>6075013300, 6075042800, 6075060100</t>
  </si>
  <si>
    <t>North Valley, Sacramento</t>
  </si>
  <si>
    <t>6089012200</t>
  </si>
  <si>
    <t>6089012301</t>
  </si>
  <si>
    <t>6089012301, 6089012302</t>
  </si>
  <si>
    <t>6089011002, 6089011100</t>
  </si>
  <si>
    <t>6089011001</t>
  </si>
  <si>
    <t>6061020908, 6061022500</t>
  </si>
  <si>
    <t>6089011803</t>
  </si>
  <si>
    <t>6061021304, 6061021328</t>
  </si>
  <si>
    <t>6007001200</t>
  </si>
  <si>
    <t>6047000303, 6047000505, 6047000901</t>
  </si>
  <si>
    <t>6001406000</t>
  </si>
  <si>
    <t>6001401700, 6001981900, 6001982000</t>
  </si>
  <si>
    <t>6001425101</t>
  </si>
  <si>
    <t>6103000100, 6103000600</t>
  </si>
  <si>
    <t>6103000600, 6103000100, 6103000400, 6103000500, 6103000600, 6103000701, 6103000702, 6103000800</t>
  </si>
  <si>
    <t>6089010500, 6089010702, 6089011501, 6089010100, 6089010200, 6089010300, 6089010400, 6089010500, 6089010601, 6089010602, 6089010603, 6089010702, 6089010703, 6089010704, 6089010803, 6089010804, 6089010805, 6089010806, 6089010807, 6089010900, 6089011002, 6089011100, 6089011209, 6089011300, 6089011401, 6089011402, 6089011403, 6089011501, 6089011502, 6089011600, 6089011802, 6089011803, 6089011900</t>
  </si>
  <si>
    <t>6001420200, 6001420301, 6001420302, 6013361000, 6013362000, 6013363000, 6013365002, 6013366001, 6013366002, 6013367100, 6013367200, 6013368001, 6013368002, 6013369001, 6013369002, 6013370000, 6013371000, 6013372000, 6013373000, 6013374000, 6013375000, 6013376000, 6013377000, 6013378000, 6013379000, 6013380001, 6013380002, 6013381000, 6013382000, 6013383000, 6013384000, 6013385100, 6013385200, 6013386000, 6013387000, 6013388000, 6013389100, 6013389200, 6013390100, 6013390200, 6013391000, 6013392000, 6013392201, 6013980000</t>
  </si>
  <si>
    <t>6001420302, 6001420402</t>
  </si>
  <si>
    <t>6013375000, 6013376000, 6013377000</t>
  </si>
  <si>
    <t>6013377000, 6013378000</t>
  </si>
  <si>
    <t>6013380002</t>
  </si>
  <si>
    <t>6029005300, 6029005402, 6029005405, 6029005406, 6029005407, 6029005408, 6029005409, 6029005410, 6029005509, 6029005510, 6071008901</t>
  </si>
  <si>
    <t>6023011100</t>
  </si>
  <si>
    <t>6095253501, 6095253502</t>
  </si>
  <si>
    <t>6077005001, 6077005003, 6077005004</t>
  </si>
  <si>
    <t>6029003203, 6029003212, 6029003213, 6029003820, 6029003823</t>
  </si>
  <si>
    <t>6019003900, 6019004003</t>
  </si>
  <si>
    <t>6053011303</t>
  </si>
  <si>
    <t>6001441503, 6001441525, 6001441921, 6001442000, 6001442100, 6001442200, 6001442301, 6001442302, 6001442400, 6001442900, 6001443001, 6001443002, 6001443103, 6001443104, 6001443105</t>
  </si>
  <si>
    <t>6001441503</t>
  </si>
  <si>
    <t>Mission, San Jose</t>
  </si>
  <si>
    <t>6001441525, 6001442200, 6001443102, 6001443103, 6001443104, 6001443105, 6001443200, 6001443322, 6085504424</t>
  </si>
  <si>
    <t>6001441503, 6001441525, 6001443200, 6001443301, 6001443321, 6001443322, 6085504413, 6085504414, 6085504421, 6085504422, 6085504424, 6085504506, 6085504507</t>
  </si>
  <si>
    <t>6099000501, 6099000503, 6099000513, 6099000514, 6099004000</t>
  </si>
  <si>
    <t>6053010505, 6053000101, 6053000103, 6053000104, 6053000105, 6053000106, 6053000200, 6053000300, 6053000400, 6053000501, 6053000502, 6053000600, 6053000701, 6053000702, 6053000800, 6053000900, 6053001200, 6053001300, 6053001400, 6053001500, 6053001600, 6053001700, 6053001801, 6053001802, 6053010305, 6053010306, 6053010501, 6053010504, 6053010505, 6053010506, 6053010603, 6053010604, 6053010605, 6053010606, 6053010607, 6053010608, 6053014500, 6053014700, 6053980000</t>
  </si>
  <si>
    <t>6023000100, 6023001300</t>
  </si>
  <si>
    <t>6009000301, 6009000302</t>
  </si>
  <si>
    <t>6087122300</t>
  </si>
  <si>
    <t>6053010702, 6053014110</t>
  </si>
  <si>
    <t>6019008200</t>
  </si>
  <si>
    <t>6069000200</t>
  </si>
  <si>
    <t>6087120301, 6087120302, 6087120400, 6087120600, 6087120700, 6087120800</t>
  </si>
  <si>
    <t>6053010202, 6053010305, 6053014700</t>
  </si>
  <si>
    <t>Diablo, Mission</t>
  </si>
  <si>
    <t>6001450101, 6001450102, 6001450200, 6001450300, 6001450400, 6001450501, 6001450502, 6001450601, 6001450750, 6001450751, 6001450752, 6013345101, 6013345102, 6013345103, 6013345105, 6013345111, 6013345112, 6013345113, 6013345114, 6013345115, 6013345116, 6013345117, 6013345118, 6013345203, 6013345205, 6013345206, 6013346204, 6013355112, 6013355113, 6013355115, 6013355121, 6013355122, 6013355123, 6013355124, 6013355125, 6013355126</t>
  </si>
  <si>
    <t>6081612900, 6081613000</t>
  </si>
  <si>
    <t>6087100801, 6087100100, 6087100200, 6087100300, 6087100400, 6087100500, 6087100600, 6087100700, 6087100801, 6087100802, 6087100900, 6087101001, 6087101100, 6087101200, 6087120200, 6087120700, 6087120800, 6087121100, 6087121200, 6087121300, 6087121401, 6087121402, 6087121403, 6087121501, 6087121502, 6087121601, 6087121602, 6087121701, 6087121702, 6087121802, 6087122001, 6087122002, 6087122004, 6087122005, 6087122100, 6087122202, 6087122203, 6087122204, 6087122205, 6087122300</t>
  </si>
  <si>
    <t>6087100500, 6087100600, 6087100700, 6087101001, 6087101002, 6087101100, 6087101200</t>
  </si>
  <si>
    <t>6087100200, 6087100300, 6087100801, 6087100802, 6087100900, 6087120700, 6087120800, 6087121200</t>
  </si>
  <si>
    <t>6047002002, 6047002100</t>
  </si>
  <si>
    <t>6097153002, 6097150501, 6097151403, 6097151404, 6097151503, 6097151504, 6097151505, 6097151506, 6097151601, 6097151602, 6097151701, 6097151702, 6097151800, 6097151900, 6097152000, 6097152100, 6097152201, 6097152203, 6097152204, 6097152205, 6097152300, 6097152401, 6097152402, 6097152501, 6097152502, 6097152601, 6097152602, 6097152701, 6097152702, 6097152801, 6097152803, 6097152804, 6097152903, 6097152904, 6097152905, 6097152906, 6097153001, 6097153002, 6097153005, 6097153006, 6097153804, 6097153806, 6097153807, 6097153808, 6097153809, 6097153810, 6097153811, 6097153904</t>
  </si>
  <si>
    <t>6097150702, 6097150601, 6097150602, 6097150603, 6097150607, 6097150609, 6097150610, 6097150611, 6097150612, 6097150701, 6097150702, 6097150800, 6097150901, 6097150902, 6097151000, 6097151100, 6097151203, 6097151204, 6097151205, 6097151206, 6097151301, 6097151305, 6097151306, 6097151307, 6097151308, 6097151309, 6097151310, 6097151311, 6097151403, 6097151404, 6097151405, 6097151406, 6097151505, 6097151900, 6097153002, 6097153003, 6097153005, 6097153006, 6097153102, 6097153103, 6097153104, 6097153201, 6097153202, 6097153301, 6097153302, 6097153403, 6097153404, 6097153405, 6097153406, 6097153501, 6097153502, 6097153602</t>
  </si>
  <si>
    <t>6087120700, 6087120800, 6087120901, 6087120902, 6087121200</t>
  </si>
  <si>
    <t>6019007002, 6019007003, 6019007004, 6019007101, 6019007102</t>
  </si>
  <si>
    <t>6019007002, 6019007101, 6019007102</t>
  </si>
  <si>
    <t>6075980900, 6075012901, 6075060400, 6075010101, 6075010102, 6075010201, 6075010202, 6075010300, 6075010401, 6075010402, 6075010500, 6075010600, 6075010701, 6075010702, 6075010800, 6075010901, 6075010902, 6075011001, 6075011002, 6075011101, 6075011102, 6075011200, 6075011300, 6075011700, 6075011800, 6075011901, 6075011902, 6075012001, 6075012002, 6075012100, 6075012202, 6075012203, 6075012204, 6075012301, 6075012302, 6075012403, 6075012404, 6075012405, 6075012406, 6075012502, 6075012503, 6075012504, 6075012601, 6075012602, 6075012700, 6075012801, 6075012802, 6075012901, 6075012902, 6075013001, 6075013002, 6075013101, 6075013102, 6075013200, 6075013300, 6075013401, 6075013402, 6075013500, 6075015100, 6075015201, 6075015202, 6075015300, 6075015401, 6075015402, 6075015500, 6075015600, 6075015701, 6075015702, 6075015801, 6075015802, 6075015900, 6075016000, 6075016101, 6075016102, 6075016200, 6075016300, 6075016400, 6075016500, 6075016601, 6075016602, 6075016700, 6075016801, 6075016802, 6075016900, 6075017000, 6075017101, 6075017102, 6075017602, 6075017603, 6075017604, 6075017700, 6075017801, 6075017803, 6075017804, 6075018000, 6075020101, 6075020102, 6075020201, 6075020202, 6075020300, 6075020401, 6075020402, 6075020500, 6075020601, 6075020602, 6075020701, 6075020702, 6075020801, 6075020802, 6075020900, 6075021000, 6075021100, 6075021200, 6075021300, 6075021400, 6075021500, 6075021600, 6075021700, 6075021800, 6075022600, 6075022702, 6075022704, 6075022801, 6075022802, 6075022803, 6075022901, 6075022902, 6075022903, 6075023001, 6075023003, 6075023102, 6075023103, 6075023200, 6075023300, 6075023400, 6075025100, 6075025200, 6075025300, 6075025401, 6075025402, 6075025403, 6075025501, 6075025502, 6075025600, 6075025701, 6075025702, 6075025800, 6075025900, 6075026001, 6075026002, 6075026003, 6075026004, 6075026100, 6075026201, 6075026202, 6075026301, 6075026302, 6075026303, 6075026401, 6075026402, 6075026403, 6075026404, 6075030101, 6075030102, 6075030201, 6075030202, 6075030301, 6075030302, 6075030400, 6075030500, 6075030600, 6075030700, 6075030800, 6075030900, 6075031000, 6075031100, 6075031201, 6075031202, 6075031301, 6075031302, 6075031401, 6075031402, 6075032601, 6075032602, 6075032700, 6075032801, 6075032802, 6075032901, 6075032902, 6075033001, 6075033002, 6075033100, 6075033201, 6075033203, 6075033204, 6075035101, 6075035102, 6075035201, 6075035202, 6075035300, 6075035400, 6075040100, 6075040200, 6075042601, 6075042602, 6075042700, 6075042800, 6075045100, 6075045201, 6075045202, 6075047600, 6075047701, 6075047702, 6075047801, 6075047802, 6075047902, 6075047903, 6075047904, 6075060100, 6075060400, 6075060502, 6075060701, 6075060702, 6075060703, 6075061000, 6075061101, 6075061102, 6075061200, 6075061401, 6075061402, 6075061501, 6075061502, 6075061503, 6075061504, 6075061505, 6075061506, 6075061507, 6075061508, 6075980200, 6075980300, 6075980501, 6075980600, 6075980900, 6081600100, 6081600300, 6081600401, 6081600402, 6081600800, 6081600900</t>
  </si>
  <si>
    <t xml:space="preserve">113019_x000D_
</t>
  </si>
  <si>
    <t>6075017903</t>
  </si>
  <si>
    <t>6075025501, 6075025502, 6075025600, 6075025900, 6075026001, 6075026002, 6075026003, 6075026004, 6075026100, 6075026201, 6075026202, 6075026301, 6075026302, 6075026303, 6075031201, 6075031202, 6075031401, 6075031402</t>
  </si>
  <si>
    <t>6075023001, 6075023003, 6075023102, 6075023200, 6075023300, 6075023400, 6075025702, 6075025800, 6075025900, 6075026402, 6075026403, 6075061200, 6075980900</t>
  </si>
  <si>
    <t>6075011700, 6075012405, 6075012503, 6075012504, 6075016801, 6075016802, 6075016900, 6075017602, 6075017603, 6075017604, 6075017700, 6075020101, 6075020202</t>
  </si>
  <si>
    <t>6075025501, 6075025502, 6075030600, 6075030700, 6075030800, 6075030900, 6075031100</t>
  </si>
  <si>
    <t>6075030301, 6075030302, 6075030400, 6075030800</t>
  </si>
  <si>
    <t>6075015401, 6075015402, 6075015600, 6075015701, 6075015702, 6075016500, 6075045100, 6075980300</t>
  </si>
  <si>
    <t>6075017101, 6075020401, 6075020402, 6075021200, 6075021300, 6075021400, 6075021500, 6075021600, 6075021800, 6075030102</t>
  </si>
  <si>
    <t>6075012602</t>
  </si>
  <si>
    <t>6075030400, 6075030800, 6075030301, 6075030302, 6075030400, 6075030800, 6075030900, 6075032602, 6075032700, 6075032801, 6075032802, 6075032901, 6075032902, 6075033001, 6075033002, 6075033100, 6075033201, 6075035102, 6075035201, 6075035300, 6075035400, 6075060400</t>
  </si>
  <si>
    <t>6075025403, 6075025600, 6075025701</t>
  </si>
  <si>
    <t>6075030900, 6075031201, 6075031301, 6075031302, 6075033201, 6075033203, 6075033204, 6075060400</t>
  </si>
  <si>
    <t>6075020401, 6075030102, 6075030500</t>
  </si>
  <si>
    <t>6085501200</t>
  </si>
  <si>
    <t>6085501402, 6085501501</t>
  </si>
  <si>
    <t>6085502909, 6085502910, 6085503208, 6085503210, 6085503213, 6085503217, 6085503218, 6085503220, 6085511905, 6085511907, 6085511910, 6085511911, 6085511912, 6085511913, 6085511914, 6085511915, 6085511916, 6085511917, 6085511918, 6085512001, 6085512019, 6085512021, 6085512022, 6085512023, 6085512024, 6085512026, 6085512027, 6085512029, 6085512030, 6085512031, 6085512032, 6085512034, 6085512035, 6085512036, 6085512037, 6085512038, 6085512039, 6085512042, 6085512043, 6085512045, 6085512047, 6085512052, 6085512053, 6085512054, 6085512055, 6085512056, 6085512057, 6085512058, 6085512059</t>
  </si>
  <si>
    <t>6085501800, 6085502400</t>
  </si>
  <si>
    <t>6085500100, 6085500200, 6085504318, 6085505006, 6085505100</t>
  </si>
  <si>
    <t>6001441503, 6085504602</t>
  </si>
  <si>
    <t>6085500300, 6085505100</t>
  </si>
  <si>
    <t>6085504602</t>
  </si>
  <si>
    <t>6085500400, 6085500500, 6085500600, 6085505202, 6085505203, 6085505500, 6085505600, 6085505700, 6085505800</t>
  </si>
  <si>
    <t>6085501200, 6085501300, 6085501601, 6085501602</t>
  </si>
  <si>
    <t>6085503332, 6085503333, 6085503338, 6085503339, 6085512001</t>
  </si>
  <si>
    <t>6085503113, 6085503121</t>
  </si>
  <si>
    <t>6053011103, 6053011104, 6053011105, 6053011106</t>
  </si>
  <si>
    <t>6053010900, 6053014800</t>
  </si>
  <si>
    <t>6097150100, 6097150203, 6097150204, 6097150205, 6097150206, 6097150303, 6097150304, 6097150305, 6097150306</t>
  </si>
  <si>
    <t>6067000100, 6067000200, 6067000300, 6067000400, 6067000501, 6067000502, 6067000600, 6067000700, 6067000800, 6067001102, 6067001103, 6067001201, 6067001202, 6067001300, 6067001400, 6067001500, 6067001601, 6067001602, 6067001701, 6067001702, 6067001800, 6067001900, 6067002000, 6067002100, 6067002200, 6067002300, 6067002400, 6067002500, 6067002600, 6067002700, 6067002800, 6067002900, 6067003001, 6067003002, 6067003101, 6067003102, 6067003202, 6067003203, 6067003204, 6067003300, 6067003400, 6067003501, 6067003502, 6067003600, 6067003700, 6067003800, 6067003900, 6067004005, 6067004006, 6067004008, 6067004011, 6067004012, 6067004013, 6067004014, 6067004015, 6067004016, 6067004017, 6067004018, 6067004019, 6067004020, 6067004100, 6067004201, 6067004202, 6067004203, 6067004301, 6067004302, 6067004401, 6067004402, 6067004501, 6067004502, 6067004602, 6067004603, 6067004604, 6067004701, 6067004702, 6067004801, 6067004802, 6067004904, 6067004906, 6067004907, 6067004908, 6067004909, 6067004910, 6067005002, 6067005003, 6067005004, 6067005101, 6067005102, 6067005201, 6067005202, 6067005204, 6067005205, 6067005301, 6067005601, 6067008602, 6067008702, 6067008703, 6067008704, 6067008706, 6067008707, 6067008708, 6067008802, 6067008803, 6067008905, 6067008907, 6067008908, 6067008909, 6067008910, 6067008911, 6067008912, 6067008913, 6067009004, 6067009005, 6067009006, 6067009007, 6067009008, 6067009010, 6067009011, 6067009103, 6067009105, 6067009106, 6067009107, 6067009108, 6067009109, 6067009110, 6067009111, 6067009112, 6067009201, 6067009316, 6067009318, 6067009601, 6067009900</t>
  </si>
  <si>
    <t>6067009610, 6067009614, 6067004906, 6067004909, 6067004910, 6067005002, 6067005102, 6067009201, 6067009307, 6067009308, 6067009309, 6067009310, 6067009311, 6067009312, 6067009314, 6067009316, 6067009317, 6067009318, 6067009319, 6067009320, 6067009321, 6067009323, 6067009326, 6067009328, 6067009329, 6067009330, 6067009331, 6067009332, 6067009333, 6067009334, 6067009335, 6067009336, 6067009601, 6067009608, 6067009609, 6067009610, 6067009611, 6067009612, 6067009614, 6067009616, 6067009617, 6067009618, 6067009622, 6067009632, 6067009633, 6067009634, 6067009635, 6067009637, 6067009639, 6067009640, 6067009641, 6067009642, 6067009643, 6067009644, 6067009645, 6067009646, 6067009647, 6067009648, 6067009649, 6067009650, 6067009651, 6067009652, 6067009653</t>
  </si>
  <si>
    <t>6067000200, 6067000300, 6067000400, 6067000502, 6067000700, 6067000800, 6067001102, 6067001103, 6067001201, 6067001202, 6067001500, 6067001602, 6067001900, 6067002000, 6067002100, 6067002300, 6067002400, 6067002500, 6067002600, 6067005301</t>
  </si>
  <si>
    <t>6081600100, 6081601601, 6081601901, 6081601902, 6081602001, 6081602002, 6081602100, 6081602201, 6081602202, 6081602300</t>
  </si>
  <si>
    <t>6081602100, 6081602202, 6081602300, 6081604400, 6081605100, 6081605400, 6081984300</t>
  </si>
  <si>
    <t>6077000600, 6077001900, 6077002000</t>
  </si>
  <si>
    <t>6077000700, 6077002300, 6077002401</t>
  </si>
  <si>
    <t>6077000900</t>
  </si>
  <si>
    <t>6077000802</t>
  </si>
  <si>
    <t>6077001502, 6077001600</t>
  </si>
  <si>
    <t>6077001502, 6077001700</t>
  </si>
  <si>
    <t>6077000402, 6077001300, 6077001400</t>
  </si>
  <si>
    <t>6077001600, 6077001700</t>
  </si>
  <si>
    <t>6055201500, 6055201602, 6055201200, 6055201500, 6055201601, 6055201602, 6055201700</t>
  </si>
  <si>
    <t>6085511502, 6085511608, 6085511609, 6085511705, 6085513000</t>
  </si>
  <si>
    <t>111014-1</t>
  </si>
  <si>
    <t>De Anza, Peninsula</t>
  </si>
  <si>
    <t>6081610202, 6081605300, 6081606100, 6081606300, 6081606800, 6081609500, 6081610000, 6081610100, 6081610201, 6081610202, 6081610203, 6081610302, 6081610500, 6081610601, 6081610602, 6081611500, 6081612500, 6081612600, 6081612900, 6085511608, 6085511609</t>
  </si>
  <si>
    <t>111014-2</t>
  </si>
  <si>
    <t>6085511608, 6085513000</t>
  </si>
  <si>
    <t>6055200802, 6055201102</t>
  </si>
  <si>
    <t>6077000700, 6077002401</t>
  </si>
  <si>
    <t>6077000101, 6077000102, 6077000300, 6077000401, 6077000402, 6077000500, 6077000600, 6077000700, 6077000802, 6077000803, 6077000900, 6077001000, 6077001101, 6077001102, 6077001200, 6077001300, 6077001400, 6077001501, 6077001502, 6077001600, 6077001700, 6077001800, 6077001900, 6077002000, 6077002100, 6077002201, 6077002202, 6077002300, 6077002401, 6077002402, 6077002503, 6077002504, 6077002701, 6077002702, 6077002800, 6077003106, 6077003108, 6077003109, 6077003110, 6077003111, 6077003112, 6077003115, 6077003116, 6077003117, 6077003118, 6077003119, 6077003203, 6077003205, 6077003209, 6077003210, 6077003213, 6077003214, 6077003215, 6077003216, 6077003217, 6077003218, 6077003219, 6077003305, 6077003306, 6077003307, 6077003308, 6077003310, 6077003311, 6077003312, 6077003313, 6077003403, 6077003404, 6077003405, 6077003406, 6077003407, 6077003409, 6077003410, 6077003501, 6077003502, 6077003503, 6077003504, 6077003601, 6077003602, 6077003700, 6077003803, 6077003804, 6077003805, 6077003806, 6077003807, 6077003808, 6077003900, 6077004001, 6077004003, 6077004004, 6077004106, 6077004107, 6077004108, 6077004402, 6077004800, 6077005119, 6077005131, 6077005135</t>
  </si>
  <si>
    <t>6001450701</t>
  </si>
  <si>
    <t>6101050800</t>
  </si>
  <si>
    <t>6029003400, 6029003500, 6029003600</t>
  </si>
  <si>
    <t>6029003304, 6029003400, 6029003500, 6029003600</t>
  </si>
  <si>
    <t>6045010900</t>
  </si>
  <si>
    <t>6101050501, 6101050503, 6101050601, 6101050603, 6101051000</t>
  </si>
  <si>
    <t>6053014110</t>
  </si>
  <si>
    <t>6101050900</t>
  </si>
  <si>
    <t>6011000301, 6011000302</t>
  </si>
  <si>
    <t>6077005208, 6077005211, 6077005212, 6077005213, 6077005214, 6077005215, 6077005216, 6077005217, 6077005218, 6077005219, 6077005220, 6077005223, 6077005224, 6077005225, 6077005303, 6077005307, 6077005308, 6077005311, 6077005312, 6077005403, 6077005405, 6077005406, 6077005502</t>
  </si>
  <si>
    <t>6077005502</t>
  </si>
  <si>
    <t>6077005214, 6077005303, 6077005307, 6077005309, 6077005310, 6077005311, 6077005405, 6077005406</t>
  </si>
  <si>
    <t>6095252317, 6095252801, 6095252802</t>
  </si>
  <si>
    <t>6099003802, 6099003803, 6099003804, 6099003904, 6099003905</t>
  </si>
  <si>
    <t>6047000403, 6099003603, 6099003607, 6099003608, 6099003609, 6099003610, 6099003611, 6099003612, 6099003700, 6099003802, 6099003803, 6099003804, 6099003805, 6099003904, 6099003905, 6099003906, 6099003907, 6099003908, 6099003909</t>
  </si>
  <si>
    <t>6077005503</t>
  </si>
  <si>
    <t>6045010900, 6045011300</t>
  </si>
  <si>
    <t>6045010801, 6045010900</t>
  </si>
  <si>
    <t>6001982100</t>
  </si>
  <si>
    <t>6045011300, 6045011400, 6045011501, 6045011502, 6045011600, 6045011700</t>
  </si>
  <si>
    <t>6095252915, 6095252903, 6095252904, 6095252908, 6095252909, 6095252910, 6095252911, 6095252912, 6095252913, 6095252914, 6095252915, 6095253000, 6095253101, 6095253105, 6095253106, 6095253107, 6095253108, 6095253201, 6095253203, 6095253205, 6095253206, 6095253207, 6095253208</t>
  </si>
  <si>
    <t>6095250701, 6055201003, 6055201004, 6055201005, 6055201006, 6055201007, 6095250601, 6095250604, 6095250605, 6095250701, 6095250801, 6095250900, 6095251000, 6095251100, 6095251400, 6095251500, 6095251600, 6095251802, 6095251803, 6095251804, 6095251901, 6095251902, 6095251903</t>
  </si>
  <si>
    <t>6095250103, 6095250104, 6095250105, 6095250106, 6095250200, 6095250300, 6095250400, 6095250501, 6095250502, 6095250701, 6095251000, 6095251100, 6095251200, 6095251300, 6095251400, 6095251500, 6095251600, 6095251701, 6095251702, 6095251802, 6095251901, 6095252103, 6095252104</t>
  </si>
  <si>
    <t>6087110101, 6087110102, 6087110201, 6087110202, 6087110301, 6087110302, 6087110401, 6087110505, 6087123300</t>
  </si>
  <si>
    <t>6087110101, 6087110102, 6087110201, 6087110202, 6087110301, 6087110401, 6087110402, 6087110503, 6087110504, 6087110505, 6087110506, 6087110601, 6087110602, 6087110700, 6087122002, 6087122204, 6087122300, 6087122401, 6087122402, 6087122500, 6087123100, 6087123300</t>
  </si>
  <si>
    <t>6061020717, 6061020601, 6061020604, 6061020605, 6061020606, 6061020607, 6061020608, 6061020710, 6061020711, 6061020712, 6061020713, 6061020714, 6061020715, 6061020717, 6061020805, 6061020806, 6061020901, 6061020908, 6061021003, 6061021034, 6061021037, 6061021038, 6061021039, 6061021040, 6061021043, 6061021044, 6061021045, 6061021046, 6061021047, 6061021048, 6061021103, 6061021106, 6061021108, 6061021109, 6061021122, 6061021123, 6061021128, 6061021129, 6061021130, 6061021131, 6061021203, 6061021204, 6061021323, 6061021324, 6061021325, 6061021326, 6061021327, 6061021328, 6061022400, 6061022500, 6061022600, 6061022800, 6061022900, 6061023000, 6061023100, 6061023501, 6061023502, 6061023600, 6061023700, 6061023800, 6067008111, 6067008113, 6067008120, 6067008124, 6067008125, 6067008128, 6067008131, 6067008132, 6067008135, 6067008136, 6067008140, 6067008141, 6067008142, 6067008143, 6067008144, 6067008145, 6067008203, 6067008210</t>
  </si>
  <si>
    <t>6113010102, 6113010103, 6113010104, 6113010105, 6113010201, 6113010203, 6113010204, 6113010310, 6113010312, 6113010313, 6113010314, 6113010315, 6113010402</t>
  </si>
  <si>
    <t>6089010806, 6089011600, 6089011701, 6089011702, 6089011703</t>
  </si>
  <si>
    <t>6101051100, 6115040800</t>
  </si>
  <si>
    <t>6115040701, 6115040702</t>
  </si>
  <si>
    <t>6045010601, 6045010700</t>
  </si>
  <si>
    <t>6021010300, 6021010401, 6021010402</t>
  </si>
  <si>
    <t>6095252903, 6113011301, 6113011302, 6113011303, 6113011304</t>
  </si>
  <si>
    <t>6013309000, 6013310000</t>
  </si>
  <si>
    <t>6113010800, 6113010901, 6113010902, 6113011001, 6113011002, 6113011101, 6113011102, 6113011103, 6113011203, 6113011204, 6113011207, 6113011208, 6113011209, 6113011210, 6113011211</t>
  </si>
  <si>
    <t>6113010800, 6113010902, 6113011001, 6113011101</t>
  </si>
  <si>
    <t>6081613200, 6081613200, 6081613300, 6081613400, 6085511707</t>
  </si>
  <si>
    <t>6055201200, 6055201300</t>
  </si>
  <si>
    <t>6101050101, 6101050102, 6101050201, 6101050202, 6101050301, 6101050302, 6101050401, 6101050402, 6101050403, 6101050501, 6101050503, 6101050504, 6101050601, 6101050603, 6101050604, 6101051000</t>
  </si>
  <si>
    <t>Totals or Averages Across All Pressure Districts</t>
  </si>
  <si>
    <t>Calculation Type requested for "Totals or Averages Across All Pressure Districts"</t>
  </si>
  <si>
    <t>[average]</t>
  </si>
  <si>
    <t>[total]</t>
  </si>
  <si>
    <t>Calculated as F7 divided by F4</t>
  </si>
  <si>
    <t>Calculated as F8 divided by F4</t>
  </si>
  <si>
    <t xml:space="preserve"> For the values in "Regulator stations", per instructions provided in the "Directions" tab, PG&amp;E is only reporting the low-pressure and medium-pressure regulator stations inside each pressure district (PG&amp;E's Hydraulically Independent Systems (HIS)).   The pressure districts not listed in this column are not fed medium- or low-pressure stations.</t>
  </si>
  <si>
    <t>For the values in "Regulator stations identified for replacement", the reported counts are for low-pressure and medium-pressure regulator stations listed for replacement unde MAT 50C in 2026 or later as of October 2025.  This list will evolve with time and other stations will be added as they are identified and the project life-cycle starts.</t>
  </si>
  <si>
    <t>For the values  in "Services served", the data was derived from a snapshot as of October 2025 of the count of services per pressure district. It doesn't constitute an average over multiple years.</t>
  </si>
  <si>
    <t>For the values  in "Meters served", the data was derived from a snapshot as of October 2025 of the count of meters  per pressure district. It doesn't constitute an average over multiple years.</t>
  </si>
  <si>
    <t>For the values  in "Core meters served", the data was derived from a snapshot as of October 2025 of the count of meters  per pressure districts. It doesn't constitute an average over multiple years.</t>
  </si>
  <si>
    <t>For the values  in "Non-core meters served", the data was derived from a snapshot as of October 2025 of the count of meters  per pressure districts. It doesn't constitute an average over multiple years.</t>
  </si>
  <si>
    <t>For the values  in "Operating Districts", the data was derived from a snapshot as of October 2025 of the count of meters  per pressure districts. It doesn't constitute an average over multiple years.</t>
  </si>
  <si>
    <t>SoCalGas Avoided Gas Project Costs</t>
  </si>
  <si>
    <t>Visalia</t>
  </si>
  <si>
    <t>SoCalGas</t>
  </si>
  <si>
    <t>SoCalGas Gas Distribution Costs by Operating District</t>
  </si>
  <si>
    <t>Based on data provided by Southern California Gas Company in response to September 24, 2025 ALJ's Ruling Directing Gas Utilities to Provide Gas Distribution Cost Data</t>
  </si>
  <si>
    <t xml:space="preserve">Definition </t>
  </si>
  <si>
    <t>182nd Street</t>
  </si>
  <si>
    <t>Alhambra</t>
  </si>
  <si>
    <t>Aliso Viejo</t>
  </si>
  <si>
    <t>Anaheim</t>
  </si>
  <si>
    <t>Azusa</t>
  </si>
  <si>
    <t>Bakersfield</t>
  </si>
  <si>
    <t>Beaumont</t>
  </si>
  <si>
    <t>Belvedere</t>
  </si>
  <si>
    <t>Branford</t>
  </si>
  <si>
    <t>Canoga Park</t>
  </si>
  <si>
    <t>Chino</t>
  </si>
  <si>
    <t>Compton</t>
  </si>
  <si>
    <t>Corona</t>
  </si>
  <si>
    <t>Crenshaw</t>
  </si>
  <si>
    <t>El Centro</t>
  </si>
  <si>
    <t>Fontana</t>
  </si>
  <si>
    <t>Garden Grove</t>
  </si>
  <si>
    <t>Glendale</t>
  </si>
  <si>
    <t>Hollywood</t>
  </si>
  <si>
    <t>Huntington Park</t>
  </si>
  <si>
    <t>Industry</t>
  </si>
  <si>
    <t>Juanita</t>
  </si>
  <si>
    <t>La Jolla</t>
  </si>
  <si>
    <t>Lancaster</t>
  </si>
  <si>
    <t>Murrieta</t>
  </si>
  <si>
    <t>Oxnard</t>
  </si>
  <si>
    <t>Palm Desert</t>
  </si>
  <si>
    <t>Pasadena</t>
  </si>
  <si>
    <t>Porterville</t>
  </si>
  <si>
    <t>Ramona</t>
  </si>
  <si>
    <t>Rim Forest</t>
  </si>
  <si>
    <t>Riverside</t>
  </si>
  <si>
    <t>San Bernardino</t>
  </si>
  <si>
    <t>San Luis Obispo</t>
  </si>
  <si>
    <t>San Pedro</t>
  </si>
  <si>
    <t>Santa Ana</t>
  </si>
  <si>
    <t>Santa Barbara</t>
  </si>
  <si>
    <t>Santa Maria</t>
  </si>
  <si>
    <t>Santa Monica</t>
  </si>
  <si>
    <t>Saticoy</t>
  </si>
  <si>
    <t>Simi Valley</t>
  </si>
  <si>
    <t>Valencia</t>
  </si>
  <si>
    <t>Whittier</t>
  </si>
  <si>
    <t>Yucca</t>
  </si>
  <si>
    <t>Downey</t>
  </si>
  <si>
    <t>Templeton</t>
  </si>
  <si>
    <t xml:space="preserve">Average cost of replacing a gas distribution regulator station. Calculated by dividing E9 by E6. </t>
  </si>
  <si>
    <t xml:space="preserve">Average number of services in a single work order.  Calculated by dividing B12 by B11. </t>
  </si>
  <si>
    <t>Totals or Averages Across All Programs</t>
  </si>
  <si>
    <t>Average cost of replacing gas distribution regulator stations, per meter. Calculated by dividing E9 by E8.</t>
  </si>
  <si>
    <t>Services affected by replaced regulator stations per year</t>
  </si>
  <si>
    <t>Meters affected by replaced regulator stations per year</t>
  </si>
  <si>
    <t>SoCalGas Pressure District Data</t>
  </si>
  <si>
    <r>
      <rPr>
        <sz val="12"/>
        <color rgb="FF000000"/>
        <rFont val="Book Antiqua"/>
        <family val="1"/>
      </rPr>
      <t>Regulator stations whose replacement is forecast to begin during the next ten years, identified consistent with each utility’s existing project selection methods, at an annual replacement rate consistent with the rates approved in each utility’s most recently adopted general rate case decision.</t>
    </r>
    <r>
      <rPr>
        <sz val="12"/>
        <color rgb="FF000000"/>
        <rFont val="Garamond"/>
        <family val="1"/>
      </rPr>
      <t xml:space="preserve">  </t>
    </r>
    <r>
      <rPr>
        <sz val="8"/>
        <color rgb="FF000000"/>
        <rFont val="Book Antiqua"/>
        <family val="1"/>
      </rPr>
      <t> </t>
    </r>
  </si>
  <si>
    <t xml:space="preserve">Name and ID number of the operating district that the pressure district is in. </t>
  </si>
  <si>
    <t>Medium Pressure</t>
  </si>
  <si>
    <t>PALM DESERT</t>
  </si>
  <si>
    <t>6065940600, 6065044505, 6065044520</t>
  </si>
  <si>
    <t>Station ID #: 446</t>
  </si>
  <si>
    <t>YUCCA VALLEY</t>
  </si>
  <si>
    <t>6071010415, 6071010434, 6071010433</t>
  </si>
  <si>
    <t>6071010415, 6071010434, 6071010433, 6071010426, 6071010422</t>
  </si>
  <si>
    <t>6071010415, 6071010432</t>
  </si>
  <si>
    <t>Station ID #: 1334</t>
  </si>
  <si>
    <t>SAN BERNARDINO</t>
  </si>
  <si>
    <t>BEAUMONT</t>
  </si>
  <si>
    <t>6065043824, 6065043822, 6065043823</t>
  </si>
  <si>
    <t>BLYTHE</t>
  </si>
  <si>
    <t>6065045900, 6065046103, 6065046200, 6065046101, 6065046102, 6065046900, 6065047000</t>
  </si>
  <si>
    <t>EL CENTRO</t>
  </si>
  <si>
    <t>6025010600, 6025010401, 6025010402, 6025010500, 6025010700, 6025010300</t>
  </si>
  <si>
    <t>6025010402, 6025010300</t>
  </si>
  <si>
    <t>6025012001, 6025011901, 6025012102, 6025012003, 6025011903, 6025011902, 6025012004, 6025012101, 6025012202, 6025012201</t>
  </si>
  <si>
    <t>6065043824, 6065043823</t>
  </si>
  <si>
    <t>6025010102, 6025010101</t>
  </si>
  <si>
    <t>6071010805, 6071011002</t>
  </si>
  <si>
    <t>Station ID #: 1005</t>
  </si>
  <si>
    <t>FONTANA, SAN BERNARDINO</t>
  </si>
  <si>
    <t>6071006700, 6071006601, 6071005701, 6071006604, 6071006603, 6071004403, 6071004404, 6071006501, 6071004902, 6071004901, 6071007002, 6071007001, 6071005800, 6071012400</t>
  </si>
  <si>
    <t>6071006700, 6071006601, 6071006603, 6071007002, 6071007001, 6071012400, 6071012500</t>
  </si>
  <si>
    <t>FONTANA</t>
  </si>
  <si>
    <t>6071004004, 6071012500</t>
  </si>
  <si>
    <t>Station ID #: 499</t>
  </si>
  <si>
    <t>FONTANA, RIVERSIDE</t>
  </si>
  <si>
    <t>6065040101, 6071004004, 6071004003</t>
  </si>
  <si>
    <t>Station ID #: 0014B, 253</t>
  </si>
  <si>
    <t>CORONA, RIVERSIDE</t>
  </si>
  <si>
    <t>6065041913, 6065041804, 6065041805, 6065041807, 6065041808, 6065041414, 6065041914, 6065041601, 6065041915, 6065047902, 6065041806, 6065041909, 6065041703, 6065041500, 6065041904, 6065040902, 6065040812, 6065040815, 6065040816, 6065046601, 6065048200, 6065040821, 6065041411, 6065041412, 6065041702, 6065041704, 6065041803, 6065040609, 6065040813, 6065040814, 6065041910, 6065031601, 6065041302, 6071000122, 6065040702, 6065040703, 6065041809, 6065041810, 6065041812, 6065041813, 6065041905, 6065041906, 6065041905, 6065041906, 6065040806, 6065041201, 6065040809, 6065041405, 6065041406, 6065041407, 6065041408, 6065041410, 6065041912, 6065048100, 6065040807, 6065040808, 6065040901, 6065046602, 6065046602, 6065040701, 6065040701, 6065041004, 6065041415, 6065047901, 6065041602</t>
  </si>
  <si>
    <t>CORONA</t>
  </si>
  <si>
    <t>6065043007, 6065042007</t>
  </si>
  <si>
    <t>RIM FOREST</t>
  </si>
  <si>
    <t>6071011004, 6071010805, 6071010806, 6071010803, 6071010804</t>
  </si>
  <si>
    <t>6065044516, 6065044524, 6065044523, 6065044507, 6065044510, 6065047201, 6065044515, 6065044509, 6065044518, 6065044517, 6065047202</t>
  </si>
  <si>
    <t>6065044524, 6065044523, 6065044520</t>
  </si>
  <si>
    <t>Station ID #: 564</t>
  </si>
  <si>
    <t>6065044524, 6065044507</t>
  </si>
  <si>
    <t>Station ID #: 1350</t>
  </si>
  <si>
    <t>6071004503, 6071002706, 6071010805</t>
  </si>
  <si>
    <t>Station ID #: 1249</t>
  </si>
  <si>
    <t>6071004601, 6071004503, 6071004511, 6071002706, 6071004512</t>
  </si>
  <si>
    <t>6025011201, 6025011302, 6025011500, 6025011202, 6025011400, 6025011600, 6025011700, 6025011801, 6025011802</t>
  </si>
  <si>
    <t>6025011201, 6025011001, 6025011002, 6025011303, 6025011202</t>
  </si>
  <si>
    <t>6071009133, 6071009134</t>
  </si>
  <si>
    <t>MURRIETA</t>
  </si>
  <si>
    <t>6065043279, 6065043274</t>
  </si>
  <si>
    <t>6065042733, 6065042748, 6065042743, 6065046404, 6065042714, 6065043274</t>
  </si>
  <si>
    <t>Station ID #: 1288</t>
  </si>
  <si>
    <t>CORONA, INDUSTRY, FONTANA, SAN BERNARDINO, RIVERSIDE, LA JOLLA, AZUSA, CHINO</t>
  </si>
  <si>
    <t>6071003506, 6071000404, 6071000115, 6071002031, 6071000821, 6037403317, 6071002204, 6071001600, 6071000111, 6071000109, 6071000812, 6071000104, 6059021832, 6065040622, 6065040618, 6065040619, 6065040617, 6065040620, 6065040621, 6071004401, 6071000826, 6071000824, 6071000818, 6071000904, 6071001104, 6071000823, 6071000503, 6071001002, 6071000208, 6071000205, 6071001001, 6071000207, 6071001504, 6071001312, 6071002206, 6071000604, 6071000501, 6065040101, 6071000403, 6071000815, 6071000817, 6071000606, 6071000813, 6071000603, 6037402001, 6037402002, 6071002014, 6071000819, 6071000820, 6071000203, 6071001707, 6071001706, 6071000814, 6071000816, 6065040405, 6071004004, 6071000901, 6071002016, 6071002027, 6071002103, 6071001311, 6071002109, 6071002028, 6071001308, 6071001309, 6071002801, 6071000903, 6071001901, 6071001305, 6071001310, 6071001103, 6071001307, 6071001813, 6071000605, 6071001704, 6071001810, 6071002013, 6071002101, 6071001101, 6071001804, 6071001809, 6071002023, 6071001806, 6071001808, 6071001812, 6071002015, 6071002029, 6071002025, 6071002019, 6071002107, 6071002038, 6071002035, 6071002604, 6071002705, 6071003509, 6071003404, 6071002207, 6071003605, 6071003609, 6071003611, 6071004301, 6071002606, 6071002307, 6071002306, 6071003503, 6071003507, 6071003510, 6071003603, 6071003405, 6071003102, 6071002803, 6071003301, 6071003101, 6071003302, 6071003606, 6071003612, 6071004003, 6071004001, 6071003607, 6071003804, 6071004302, 6071003803, 6071006603, 6071004403, 6071004404, 6065040611, 6071002046, 6071002047, 6071002610, 6071002611, 6071002048, 6071002051, 6071002049, 6071002050, 6071002503, 6071002504, 6071002405, 6071001909, 6071000305, 6071000120, 6071001907, 6071002039, 6071002042, 6071000307, 6065040403, 6065040501, 6065040503, 6065040603, 6071004902, 6071003201, 6071003202, 6071002707, 6071002309, 6071002608, 6071002609, 6071002043, 6071002045, 6071002313, 6071000308, 6071000306, 6071001908, 6071001910, 6071012201, 6071001911, 6071002112, 6071002111, 6071012202, 6071000119, 6065040604, 6065040605, 6071002406, 6071002403, 6071002404, 6071002602, 6071000201, 6071000808, 6071002901, 6071003401, 6071003403, 6071003700, 6071000304, 6071003900, 6071002501, 6071002902, 6071001200, 6071000804, 6037403318, 6065040404, 6037402706, 6037402804, 6037402903, 6037403324, 6065040609, 6065040616, 6071002021, 6071002804, 6071000825, 6071002706, 6071002105, 6071001503, 6071002037, 6065040102, 6037402801, 6071002709, 6071002044, 6071002041, 6071000122, 6071002040, 6071002314, 6071002708, 6071002308, 6071002311, 6071002310, 6071002312, 6071002315, 6071000121, 6071000401, 6065041810, 6065040303, 6065040402, 6065040606, 6065040502, 6071000504, 6071000117, 6071001906, 6071009202, 6071001501, 6071001200, 6071001501, 6071003505, 6071003801, 6071002703, 6071012700, 6037400205, 6071001702, 6071003000, 6071001803, 6071001703, 6071001400, 6071000103, 6071000105, 6071000107, 6071000108, 6037402702, 6037402703, 6071000118, 6037402904</t>
  </si>
  <si>
    <t>RAMONA</t>
  </si>
  <si>
    <t>6065042745, 6065042723</t>
  </si>
  <si>
    <t>6025011303, 6025011901, 6025011301</t>
  </si>
  <si>
    <t>6025011803, 6025011302, 6025011303, 6025011100</t>
  </si>
  <si>
    <t>Station ID #: 507</t>
  </si>
  <si>
    <t>6065042745, 6065043524, 6065043521, 6065043522, 6065043523, 6065043519, 6065051302, 6065051301, 6065043518, 6065043701, 6065043509, 6065941500, 6065042744, 6065043316, 6065043512, 6065043602, 6065043304, 6065043306, 6065043307, 6065043308, 6065043309, 6065043310, 6065043311, 6065043312, 6065043313, 6065043314, 6065043315, 6065043401, 6065043403, 6065043404, 6065043405, 6065043503, 6065043506, 6065043702, 6065043703, 6065043513, 6065043517, 6065042723, 6065043505, 6065043319, 6065043318, 6065043520, 6065043601</t>
  </si>
  <si>
    <t>RAMONA, FONTANA, RIVERSIDE</t>
  </si>
  <si>
    <t>6071007104, 6065042214, 6065042412, 6071007106, 6065042300, 6065042209</t>
  </si>
  <si>
    <t>6025010800, 6025010900</t>
  </si>
  <si>
    <t>6065042745, 6065042720, 6065042723</t>
  </si>
  <si>
    <t>6065940400, 6065045222</t>
  </si>
  <si>
    <t>PALM DESERT, PALM DESERT</t>
  </si>
  <si>
    <t>6065045306, 6065045305, 6065045216, 6065049400, 6065045303, 6065045209, 6065045302, 6065045222, 6065045228, 6065045217, 6065049400</t>
  </si>
  <si>
    <t>6065045128, 6065045613, 6065049101, 6065045614, 6065045235, 6065049102, 6065045234, 6065045129, 6065049501, 6065049502, 6065045708, 6065045616, 6065045617, 6065045615, 6065045709, 6065045212, 6065045213, 6065045214, 6065045224, 6065045226, 6065045233, 6065045606, 6065049400, 6065045110, 6065045120, 6065940400, 6065045707, 6065045122, 6065045207, 6065045704, 6065045209, 6065045501, 6065044911, 6065045502, 6065045703, 6065045706, 6065045125, 6065045217, 6065044927</t>
  </si>
  <si>
    <t>6071010420, 6071010419</t>
  </si>
  <si>
    <t>6071010431, 6071010432</t>
  </si>
  <si>
    <t>Station ID #: 1125</t>
  </si>
  <si>
    <t>6071010905, 6071010906, 6071011004, 6071011003, 6071010903, 6071010904, 6071010805, 6071011002, 6071010803</t>
  </si>
  <si>
    <t>6065045611, 6065045612, 6065045610</t>
  </si>
  <si>
    <t>RAMONA, RIVERSIDE</t>
  </si>
  <si>
    <t>6065042624, 6065042624, 6065042622, 6065042622, 6065050901, 6065049002, 6065050902, 6065042629, 6065049001, 6065042522, 6065042523, 6065042625, 6065042630, 6065042214, 6065042206, 6065042401, 6065042521, 6065042412, 6065042516, 6065042511, 6065048800, 6065048300, 6065048700, 6065042514, 6065042515, 6065042517, 6065042513, 6065042518, 6065042519, 6065046800, 6065048901, 6065048902, 6065042512, 6065042621, 6065051100, 6065042402, 6065042403, 6065042404, 6065042520, 6065042406, 6065042405, 6065042407, 6065042408, 6065042409, 6065042410, 6065042411, 6065042505, 6065042507, 6065042508, 6065042510, 6065042212, 6065046700, 6065042509, 6065042623</t>
  </si>
  <si>
    <t>6065042747, 6065042626</t>
  </si>
  <si>
    <t>6065042730, 6065042720, 6065042744, 6065042719, 6065042626, 6065042623</t>
  </si>
  <si>
    <t>6065045117, 6065045115, 6065045114, 6065045116, 6065045125, 6065045124</t>
  </si>
  <si>
    <t>6065051401, 6065051402, 6065045216, 6065049400, 6065044520, 6065045228, 6065049400</t>
  </si>
  <si>
    <t>PALM DESERT, MURRIETA, RIM FOREST</t>
  </si>
  <si>
    <t>6065044933, 6065044934, 6065941002, 6065941001, 6065044807, 6065044605, 6065043227, 6065941200, 6065940600, 6065044926, 6065940700, 6065940800, 6065940900, 6065941100, 6065941300, 6065941400, 6065045103, 6065044602, 6065044604, 6065044701, 6065044921, 6065044922, 6065044931, 6065044932, 6065044917, 6065044918, 6065044923, 6065044924, 6065044925, 6071010903, 6065044907, 6065044805, 6065044806, 6065044916, 6065044702, 6065044606, 6065044904, 6065940500, 6065044804, 6065045000</t>
  </si>
  <si>
    <t>6071010424, 6071010417</t>
  </si>
  <si>
    <t>6071010413, 6071010424</t>
  </si>
  <si>
    <t>SAN BERNARDINO, BEAUMONT</t>
  </si>
  <si>
    <t>6065043813, 6065043824, 6065043809, 6065044000, 6065044101, 6065044102, 6065044103, 6065044200, 6065043810, 6065043818, 6065043820, 6065043821, 6071008711, 6065043807, 6065043900, 6065043822, 6065044104, 6065044300, 6065043812</t>
  </si>
  <si>
    <t>6065042625, 6065030605, 6065042632, 6065042631, 6065042018, 6065042630, 6065042907, 6065042906, 6065042905, 6065042908, 6065042004, 6065042003, 6065042008, 6065042005, 6065042902, 6065042903, 6065042012, 6065042010, 6065042719, 6065042007, 6065046700, 6065031701, 6065042009, 6065042802, 6065042747, 6065042801, 6065042628, 6065042746, 6065042626, 6065042627, 6065042015, 6065042016, 6065042017</t>
  </si>
  <si>
    <t>6071009119, 6071009109</t>
  </si>
  <si>
    <t>6071009120, 6071009121</t>
  </si>
  <si>
    <t>6065045127, 6065045126, 6065045214, 6065044930, 6065045117, 6065045119, 6065045103, 6065044919, 6065044921, 6065044922, 6065044928, 6065044929, 6065045116, 6065044917, 6065044918, 6065045118, 6065045122, 6065045123, 6065044911, 6065045125, 6065045124, 6065044927</t>
  </si>
  <si>
    <t>Station ID #: 1121</t>
  </si>
  <si>
    <t>RAMONA, FONTANA, SAN BERNARDINO, RIVERSIDE</t>
  </si>
  <si>
    <t>6071008402, 6071008404, 6071008403, 6071008100, 6071007105, 6071008302, 6071007800, 6071008301, 6071007104, 6065042412, 6071008001, 6071007106, 6071007107, 6071007108, 6065042300, 6071007110, 6071007306, 6071004004, 6071008601, 6071007305, 6071007307, 6071008004, 6071007202, 6071008405, 6071007201, 6071007112, 6071007111, 6071008715, 6071008501, 6071008502, 6071008406, 6071008201, 6071008202, 6071008003, 6071007303, 6071007308, 6071008602, 6071012400</t>
  </si>
  <si>
    <t>Station ID #: 1260</t>
  </si>
  <si>
    <t>6071011004, 6071011002</t>
  </si>
  <si>
    <t>Station ID #: 806</t>
  </si>
  <si>
    <t>6065042300, 6071004004, 6065030101, 6065030103, 6065030104, 6065030300, 6065030200, 6065042209</t>
  </si>
  <si>
    <t>RIVERSIDE</t>
  </si>
  <si>
    <t>Station ID #: 302</t>
  </si>
  <si>
    <t>6065046502, 6065046501, 6065042214, 6065042213, 6065042210, 6065042209</t>
  </si>
  <si>
    <t>6065031504, 6065031503, 6065030605, 6065030604, 6065041414, 6065046501, 6065042004, 6065042206, 6065042207, 6065042008, 6065042208, 6065030603, 6065042005, 6065040902, 6065042012, 6065031602, 6065030900, 6065042217, 6065030103, 6065980004, 6065031601, 6065041101, 6065041102, 6065041301, 6065041302, 6065041001, 6065031001, 6065031002, 6065041002, 6065031100, 6065041201, 6065041202, 6065041203, 6065041403, 6065041404, 6065031200, 6065031300, 6065031401, 6065031402, 6065031501, 6065041405, 6065041406, 6065041407, 6065030300, 6065030400, 6065030501, 6065040901, 6065040903, 6065040904, 6065030502, 6065030503, 6065030700, 6065030800, 6065031702, 6065031703, 6065031704, 6065046700, 6065030200, 6065042209, 6065031701, 6065030602, 6065041003, 6065041004, 6065041415, 6065041413</t>
  </si>
  <si>
    <t>6071011300, 6071011102, 6071011101</t>
  </si>
  <si>
    <t>Station ID #: 107, 1033, 1062, 79</t>
  </si>
  <si>
    <t>6071004601, 6071005200, 6071005300, 6071005400, 6071006301, 6071006401, 6071004507, 6071004509, 6071004505, 6071005701, 6071006501, 6071006303, 6071005601, 6071005602, 6071005102, 6071005501, 6071005502, 6071005101, 6071010805, 6071004512, 6071005800, 6071004510, 6071004603, 6071004604</t>
  </si>
  <si>
    <t>6071005200, 6071006201, 6071005101</t>
  </si>
  <si>
    <t>Station ID #: 78, 163</t>
  </si>
  <si>
    <t>6071007407, 6071007404, 6071005200, 6071980100, 6071006201, 6071006301, 6071006401, 6071006402, 6071007408, 6071006204, 6071006203, 6071007604, 6071007410, 6071007409, 6071007903, 6071007603, 6071005701, 6071006501, 6071006502, 6071006303, 6071007905, 6071007412, 6071007411, 6071007202, 6071006304, 6071006101, 6071006102, 6071005101, 6071007605, 6071007606, 6071007906, 6071011002, 6071007904, 6071011101, 6071012400</t>
  </si>
  <si>
    <t>6071006101, 6071011002</t>
  </si>
  <si>
    <t>Station ID #: 1078</t>
  </si>
  <si>
    <t>6071004800, 6071004700, 6071004201, 6071004202, 6071004302, 6071004902</t>
  </si>
  <si>
    <t>RAMONA, MURRIETA</t>
  </si>
  <si>
    <t>6065042730, 6065042731, 6065042733, 6065042737, 6065042745, 6065042724, 6065042728, 6065042752, 6065042751, 6065042717, 6065042738, 6065042739, 6065042740, 6065042741, 6065042742, 6065042720, 6065042743, 6065043279, 6065042708, 6065042709, 6065042711, 6065042723, 6065042732, 6065042726</t>
  </si>
  <si>
    <t>6065043246, 6065043254, 6065043265, 6065043267, 6065043272, 6065043008, 6065050503, 6065043203, 6065043208, 6065043202, 6065049702, 6065050501, 6065043205, 6065043295, 6065043204, 6065043296, 6065042750, 6065042748, 6065042749, 6065049701, 6065050401, 6065050402, 6065050701, 6065050502, 6065050302, 6065043210, 6065043209, 6065050301, 6065043201, 6065046403, 6065043005, 6065046401, 6065046405, 6065043006, 6065043206, 6065043216, 6065043217, 6065043262, 6065043010, 6065043227, 6065043228, 6065043229, 6065049800, 6065043235, 6065043278, 6065043279, 6065043252, 6065043270, 6065043271, 6065046404, 6065043248, 6065043256, 6065043264, 6065043276, 6065043266, 6065043003, 6065043211, 6065043220, 6065050600, 6065051200, 6065043274, 6065043218, 6065046402, 6065043222, 6065043001, 6065043298, 6065043292, 6065043297, 6065043294, 6065043293, 6065043207, 6065043009, 6065049600</t>
  </si>
  <si>
    <t>6065040304, 6065040305, 6065040302, 6065040101, 6065040102, 6065040203, 6065040204, 6065040303, 6065040201</t>
  </si>
  <si>
    <t>6065040305, 6065040302, 6065040405, 6065040404, 6065040202, 6065040303, 6065040201</t>
  </si>
  <si>
    <t>Station ID #: 1067</t>
  </si>
  <si>
    <t>6037930400, 6071009201</t>
  </si>
  <si>
    <t>6071008800, 6071008705, 6065043824, 6065043802, 6071008710, 6071008709, 6071008714, 6071008715, 6071008716, 6071008713, 6071008712, 6071008502, 6071008711, 6071008708, 6065043823, 6071008602</t>
  </si>
  <si>
    <t>6071010413, 6071010410, 6071010427, 6071010428, 6071010429, 6071010430, 6071010420, 6071010419</t>
  </si>
  <si>
    <t>6071010413, 6071010427, 6071010424</t>
  </si>
  <si>
    <t>CHINO</t>
  </si>
  <si>
    <t>6065042737, 6065050702, 6065050701, 6065042739, 6065043235</t>
  </si>
  <si>
    <t>6071004004, 6071004003</t>
  </si>
  <si>
    <t>6065046501, 6065042206</t>
  </si>
  <si>
    <t>6071002706, 6071009202</t>
  </si>
  <si>
    <t>6071002014, 6071002011, 6071002013, 6071002023, 6071002018, 6071002029, 6071002025, 6071002019, 6071002021, 6071009202, 6071002017</t>
  </si>
  <si>
    <t>6071004101, 6071004104</t>
  </si>
  <si>
    <t>6071004700, 6071004201, 6071004202, 6071004101, 6071004104, 6071004103</t>
  </si>
  <si>
    <t>Station ID #: 421</t>
  </si>
  <si>
    <t>6065042210, 6065042209</t>
  </si>
  <si>
    <t>Station ID #: 1409, 1382, 1365, 2609, 1432, 2602</t>
  </si>
  <si>
    <t>SANTA ANA, ANAHEIM, GARDEN GROVE, DOWNEY, LA JOLLA, ALISO VIEJO</t>
  </si>
  <si>
    <t>6059021903, 6059074106, 6059074107, 6059099239, 6059099305, 6059099306, 6059099251, 6059099307, 6059099903, 6059099905, 6059099906, 6059110007, 6059110003, 6059099904, 6059087001, 6059087002, 6059099240, 6059099308, 6059099309, 6059099310, 6059099402, 6059099404, 6059110004, 6059110005, 6059089107, 6059021802, 6059086405, 6059074501, 6059021821, 6059087101, 6059087102, 6059087103, 6059087105, 6059087106, 6059075517, 6059075516, 6059075518, 6059063910, 6059063909, 6059076001, 6059099418, 6059021831, 6059087302, 6059076105, 6059076104, 6059076002, 6059099419, 6059087301, 6059011502, 6059089001, 6059099241, 6059099242, 6059099405, 6059099407, 6059099408, 6059099410, 6059099411, 6059099412, 6059110201, 6059110117, 6059074601, 6059075100, 6059075201, 6059075202, 6059075301, 6059075302, 6059087200, 6059087401, 6059087405, 6059099417, 6059099504, 6059110006, 6059110008, 6059110010, 6059110011, 6059074701, 6059074702, 6059074602, 6059074802, 6059075303, 6059075401, 6059075403, 6059075404, 6059087503, 6059087504, 6059087601, 6059087602, 6059087701, 6059087703, 6059089003, 6059089004, 6059089102, 6059089104, 6059089105, 6059099508, 6059099506, 6059110012, 6059110014, 6059011504, 6059011707, 6059011708, 6059011709, 6059011710, 6059062800, 6059110001, 6059011711, 6059011712, 6059011715, 6059011716, 6059063010, 6059063101, 6059063102, 6059063103, 6059063201, 6037503902, 6059063009, 6059087901, 6059110115, 6059087404, 6059980000, 6059087505, 6037555107, 6059021813, 6037577604, 6059011717, 6059011718, 6059011720, 6059011721, 6059011722, 6059063202, 6059063301, 6059063302, 6059063400, 6059063604, 6037554518, 6037554519, 6037555202, 6037555212, 6059021809, 6059021810, 6059063806, 6059074108, 6059074109, 6059074111, 6059074200, 6059063902, 6059063903, 6059063904, 6059063905, 6059063906, 6059063908, 6059074004, 6059074005, 6059074006, 6059074102, 6059074103, 6059110015, 6059021812, 6059089106, 6059021916, 6059110118, 6059075813, 6059099311, 6059086303, 6059074407, 6059021822, 6059075814, 6059099416, 6059011714, 6059075703, 6059075702, 6059074805, 6059021913, 6059099603, 6059099406, 6059087403, 6059062900, 6059074110, 6059062610, 6059110113, 6059087902, 6059099415, 6059021915, 6059021820, 6059063808, 6059088702, 6059110202, 6059110304, 6059110401, 6059110402, 6059075405, 6059075505, 6059075506, 6059075507, 6059076201, 6059087704, 6059087801, 6059099202, 6059099203, 6059074003, 6059099243, 6059099244, 6059110203, 6059110301, 6059110302, 6059110500, 6059063500, 6059063601, 6059063603, 6059075603, 6059076202, 6059076204, 6059076205, 6059087803, 6059087805, 6059087806, 6059087802, 6059099204, 6059099212, 6059099214, 6059099245, 6059099511, 6059110102, 6059074801, 6059075809, 6059063605, 6059063701, 6059063702, 6059063802, 6059076206, 6059088001, 6059088002, 6059099215, 6059099216, 6059099217, 6059099220, 6059099222, 6059099512, 6059099513, 6059099514, 6059099601, 6059099602, 6059110303, 6059063803, 6059063805, 6059063807, 6059074300, 6059074403, 6059076208, 6059086301, 6059086304, 6059086305, 6059086306, 6059088101, 6059088104, 6059088105, 6059088106, 6059099225, 6059099223, 6059099224, 6059099604, 6059099605, 6059110104, 6059086402, 6059086404, 6059086406, 6059086407, 6059086501, 6059086502, 6059088107, 6059088201, 6059088202, 6059088203, 6059088301, 6059099226, 6059099246, 6059099701, 6059110106, 6059074803, 6059075701, 6059075805, 6059086601, 6059086701, 6059086702, 6059086801, 6059086602, 6059088302, 6059088401, 6059088402, 6059088403, 6059088501, 6059088802, 6059088901, 6059099227, 6059099229, 6059099230, 6059099231, 6059099232, 6059099702, 6059110108, 6059110109, 6059074405, 6059074806, 6059074901, 6059074902, 6059075806, 6059075807, 6059075808, 6059075810, 6059086802, 6059086901, 6059086902, 6059086803, 6059086903, 6059088601, 6059088602, 6059088502, 6059088903, 6059088904, 6059088905, 6059088902, 6059099235, 6059099237, 6059099238, 6059099234, 6059099247, 6059099248, 6059099249, 6059099250, 6059110110, 6059074406, 6059074408, 6059074502, 6059075002, 6059075003, 6059075811, 6059075812, 6059075815, 6059075816, 6059075901, 6059088701, 6059088801, 6059099703, 6059110111, 6059075902, 6059099801, 6059099802, 6059099803, 6059110114, 6059110116, 6059075004, 6059076102, 6059076103, 6059099902, 6059099233, 6059099502, 6059075504, 6059021914, 6059021919, 6059021922, 6059075605, 6059052524, 6059052437, 6059052534, 6059052434, 6059042340, 6059021807, 6059021817, 6059021823, 6059021826, 6059021827, 6059021828, 6059021830, 6059021905, 6059021825, 6059021918, 6059021816, 6059021921, 6059021923, 6059021920, 6059021917, 6059052419, 6059075604, 6059021924, 6059021912, 6059075606, 6059075607, 6059021824, 6059021829</t>
  </si>
  <si>
    <t>Station ID #: 2618</t>
  </si>
  <si>
    <t>GARDEN GROVE</t>
  </si>
  <si>
    <t>6059099509, 6059099510, 6059099502</t>
  </si>
  <si>
    <t>LA JOLLA</t>
  </si>
  <si>
    <t>6059011000, 6059110605</t>
  </si>
  <si>
    <t>Station ID #: 1414</t>
  </si>
  <si>
    <t>SANTA ANA</t>
  </si>
  <si>
    <t>6059062658, 6059062657, 6059062642, 6059062701, 6059062702, 6059063005, 6059063006, 6059063008, 6059063004, 6059063007, 6059062643, 6059062645</t>
  </si>
  <si>
    <t>ALISO VIEJO, SANTA ANA</t>
  </si>
  <si>
    <t>6059052417, 6059052437, 6059052430, 6059052435, 6059052438, 6059052436, 6059052535, 6059052533, 6059052439, 6059052433, 6059052431, 6059052432, 6059052429, 6059052421</t>
  </si>
  <si>
    <t>ALISO VIEJO</t>
  </si>
  <si>
    <t>6059062656, 6059062605, 6059062632, 6059062619, 6059062620</t>
  </si>
  <si>
    <t>Station ID #: 2009, 2616, 1453</t>
  </si>
  <si>
    <t>SANTA ANA, ALISO VIEJO</t>
  </si>
  <si>
    <t>6059052502, 6059052519, 6059052520, 6059052521, 6059052523, 6059075517, 6059075516, 6059075518, 6059052529, 6059052530, 6059052522, 6059075512, 6059075505, 6059075513, 6059075514, 6073018700, 6059052408, 6059052415, 6059052416, 6059032002, 6059032003, 6059032012, 6059032013, 6059052424, 6059052425, 6059052427, 6059052428, 6059032046, 6059052528, 6059032043, 6059042205, 6059042324, 6059052423, 6059052506, 6059032014, 6059032015, 6059032020, 6059032022, 6059052505, 6059052511, 6059052514, 6059032027, 6059032028, 6059032029, 6059032030, 6059052518, 6059032031, 6059032032, 6059032034, 6059032035, 6059032036, 6059052526, 6059052527, 6059052531, 6059052532, 6059032063, 6059042341, 6059042115, 6059052430, 6059052438, 6059052439, 6059052433, 6059042340, 6059032062, 6059032064, 6059042116, 6059032065, 6059032066, 6059062653, 6059062652, 6059032037, 6059032038, 6059032039, 6059032040, 6059042323, 6059062622, 6059032042, 6059032045, 6059032047, 6059032050, 6059062625, 6059062635, 6059062636, 6059032048, 6059032051, 6059032054, 6059032055, 6059062638, 6059062640, 6059062641, 6059062646, 6059042106, 6059042107, 6059042108, 6059042109, 6059042114, 6059042305, 6059042307, 6059062648, 6059032057, 6059032059, 6059042312, 6059042313, 6059042326, 6059042327, 6059042328, 6059042330, 6059042331, 6059042332, 6059042333, 6059042334, 6059042335, 6059042337, 6059042338, 6059062634, 6059042325, 6059042113, 6059062633, 6059052513, 6059042315, 6059042339, 6059042336, 6059042319, 6059032044, 6059042206, 6059042112, 6059032041, 6059042311, 6059042329, 6059052422, 6059032033, 6059042201, 6059052410, 6059032049, 6059032053, 6059042317, 6059062647, 6059052411, 6059042111, 6059042203, 6059042320, 6059062649, 6059032058, 6059032061, 6059062639, 6059062637</t>
  </si>
  <si>
    <t>6059062651, 6059062650, 6059062655, 6059062611, 6059062614, 6059062627, 6059062629, 6059063101, 6059063009, 6059062631, 6059062626, 6059063007, 6059062610, 6059062628, 6059062654, 6059062653, 6059062630</t>
  </si>
  <si>
    <t>Station ID #: 2000</t>
  </si>
  <si>
    <t>INDUSTRY, GARDEN GROVE, DOWNEY, BELVEDERE, LA JOLLA, WHITTIER</t>
  </si>
  <si>
    <t>6037500600, 6037501700, 6037500202, 6059001901, 6059001706, 6059001402, 6059001403, 6059001404, 6059001501, 6059001503, 6059001504, 6059001506, 6059001507, 6059001705, 6059001801, 6059001802, 6059001603, 6059021831, 6059021832, 6059001710, 6059001604, 6059001709, 6059001903, 6059011000, 6059011101, 6059011102, 6059011200, 6059011401, 6059011402, 6059011403, 6059011502, 6059011503, 6059011504, 6059011601, 6059011602, 6059011707, 6059011708, 6059011709, 6037500404, 6037501001, 6037501803, 6037501804, 6037502003, 6037502004, 6037503105, 6037503106, 6037503301, 6037503302, 6037503401, 6037503902, 6037503601, 6037503602, 6037503701, 6037503702, 6037503801, 6037503901, 6059011300, 6037530101, 6037503704, 6037503201, 6037503202, 6037501400, 6037501503, 6037501504, 6037501802, 6037502100, 6037502200, 6037502401, 6037502402, 6037502500, 6037500500, 6037500700, 6037500402, 6037500800, 6037500900, 6059011720, 6037532101, 6059011722, 6059021814, 6059001202, 6059001301, 6059001303, 6059001304, 6059001401, 6037502700, 6037502901, 6037503501, 6037500204, 6037500203, 6059001708, 6059001704, 6059001902, 6059001505, 6059001602, 6037502303, 6037501301, 6037408703, 6037500100, 6037500300, 6037501302, 6037503103, 6037503502, 6037503402, 6037502005, 6037501900, 6037501600, 6037501002, 6037504200, 6037501501, 6037501200, 6037500403, 6059110603, 6059110604, 6059110605, 6059001201, 6059110607, 6059110606, 6059086701, 6059001101, 6059001102, 6059001103, 6037408402</t>
  </si>
  <si>
    <t>Station ID #: 1052</t>
  </si>
  <si>
    <t>GARDEN GROVE, DOWNEY, BELVEDERE, LA JOLLA, WHITTIER, LANCASTER</t>
  </si>
  <si>
    <t>6037571102, 6037570001, 6037553602, 6037554405, 6037554513, 6037554406, 6037552601, 6037554517, 6037573601, 6037570701, 6037552302, 6037553503, 6037570800, 6037570901, 6037570902, 6037571000, 6037571101, 6037502801, 6037503105, 6037503106, 6037571300, 6037571400, 6037572001, 6037552301, 6037533901, 6037550201, 6037533902, 6037534001, 6037550202, 6037550601, 6037550602, 6037550901, 6037550902, 6037551101, 6037551102, 6037551402, 6037551501, 6037551502, 6037552001, 6037552002, 6037533806, 6037534002, 6037534101, 6037534202, 6037573700, 6037534203, 6037573800, 6037503902, 6059110115, 6037503601, 6037503602, 6037503702, 6037503801, 6037503802, 6037503901, 6037504001, 6037550700, 6037504002, 6037504101, 6037551201, 6037551300, 6037536102, 6037551700, 6037551900, 6037552100, 6037552200, 6037552400, 6037552602, 6037571202, 6037555107, 6037555105, 6037570703, 6037571201, 6037555106, 6037503704, 6037551801, 6037536202, 6037980018, 6037553504, 6037554105, 6037554203, 6037554204, 6037554301, 6037554302, 6037503000, 6037502500, 6037502602, 6037553100, 6037553300, 6037553400, 6037553502, 6037553601, 6037553701, 6037554403, 6037554404, 6037554512, 6037554514, 6037553702, 6037553801, 6037553802, 6037553901, 6037554002, 6037554101, 6037554201, 6037554515, 6037554516, 6037554518, 6037554519, 6037554521, 6037554522, 6037554700, 6037554801, 6037554802, 6037532304, 6037554900, 6037555001, 6037555002, 6037555202, 6037555211, 6037555212, 6037570002, 6037570003, 6037570202, 6037551002, 6037502700, 6037550801, 6037502604, 6037550502, 6037503104, 6037900704, 6037554106, 6037553202, 6037553201, 6037551802, 6037503705, 6037553902, 6037980034, 6037555300, 6037980012, 6037550301, 6037550101, 6037554511, 6037551203, 6037551001, 6037550501, 6037550802, 6037502603, 6037534102, 6037552700, 6037552800, 6037553000, 6037577800, 6037551204, 6037536201, 6037503103, 6037542106, 6037504200, 6059110500, 6059110604, 6059110606, 6037551401, 6037554600, 6037554001, 6037552900</t>
  </si>
  <si>
    <t>WHITTIER</t>
  </si>
  <si>
    <t>DOWNEY, COMPTON</t>
  </si>
  <si>
    <t>6037534101, 6037534202, 6037534203, 6037536102, 6037534102, 6037534201</t>
  </si>
  <si>
    <t>SANTA MONICA, BRANFORD, SATICOY, HOLLYWOOD, JUANITA</t>
  </si>
  <si>
    <t>6037208904, 6037214600, 6037211420, 6037191810, 6037192620, 6037143902, 6037141700, 6037191410, 6037211802, 6037262100, 6037191720, 6037194300, 6037189903, 6037194101, 6037265602, 6037212410, 6037262200, 6037191902, 6037194102, 6037195803, 6037188201, 6037189101, 6037189102, 6037189202, 6037190802, 6037191301, 6037191302, 6037191901, 6037192002, 6037194401, 6037194402, 6037195201, 6037195202, 6037195804, 6037195901, 6037195902, 6037195903, 6037190202, 6037211704, 6037700102, 6037208302, 6037208401, 6037208402, 6037208502, 6037208801, 6037209103, 6037209104, 6037211201, 6037212502, 6037212702, 6037214501, 6037215101, 6037216401, 6037216402, 6037217001, 6037980010, 6037211703, 6037212701, 6037700200, 6037700300, 6037261104, 6037267202, 6037265524, 6037267101, 6037267201, 6037214902, 6037265201, 6037700101, 6037700501, 6037700502, 6037700801, 6037700802, 6037265601, 6037190401, 6037190402, 6037190801, 6037208501, 6037211121, 6037211202, 6037267902, 6037209402, 6037212305, 6037211804, 6037212101, 6037212102, 6037261102, 6037191204, 6037209520, 6037208720, 6037208710, 6037190901, 6037189702, 6037143700, 6037189600, 6037189400, 6037192300, 6037195400, 6037197200, 6037197300, 6037197410, 6037197420, 6037197500, 6037197600, 6037197700, 6037187200, 6037187300, 6037209201, 6037217102, 6037265523, 6037216902, 6037216202, 6037265522, 6037216302, 6037209105, 6037208001, 6037216201, 6037265307, 6037214505, 6037265702, 6037265306, 6037208002, 6037211124, 6037214903, 6037214904, 6037192420, 6037700400, 6037700600, 6037700700, 6037267102, 6037209106, 6037190702, 6037189801, 6037190701, 6037190101, 6037189802, 6037189906, 6037189907, 6037190302, 6037211123, 6037265521, 6037190102, 6037261103, 6037189703, 6037189704, 6037143802, 6037189501, 6037189502, 6037190303, 6037265100, 6037265301, 6037265303, 6037265304, 6037211000, 6037211310, 6037211410, 6037211500, 6037211701, 6037211910, 6037212202, 6037212204, 6037212304, 6037212306, 6037212420, 6037212610, 6037212620, 6037212800, 6037212900, 6037213100, 6037265420, 6037267800, 6037269000, 6037269100, 6037261200, 6037188202, 6037189905, 6037980009, 6037192001, 6037211122, 6037213201, 6037213202, 6037213310, 6037213320, 6037213401, 6037214700, 6037214800, 6037216100, 6037214000, 6037214100, 6037214400, 6037216800, 6037217200, 6037209401, 6037265701, 6037216301, 6037265204, 6037265203, 6037209202, 6037980017, 6037700901, 6037700902, 6037701000, 6037208301, 6037189904, 6037190201, 6037189300, 6037208802, 6037211921, 6037215102, 6037189201, 6037211803, 6037211922, 6037212501, 6037267901, 6037208610, 6037208620, 6037208903, 6037209300, 6037209510, 6037210010, 6037190510, 6037190520, 6037190902, 6037191000, 6037191110, 6037191120, 6037191201, 6037191420, 6037191500, 6037191610, 6037191620, 6037191710, 6037191820, 6037212303, 6037191203, 6037211320, 6037209403, 6037208902, 6037212203, 6037194200, 6037195500, 6037195600, 6037195710, 6037195720, 6037195802, 6037206010, 6037192410, 6037192510, 6037192520, 6037192610, 6037192700, 6037194500, 6037195100, 6037195300</t>
  </si>
  <si>
    <t>SANTA MONICA, HOLLYWOOD</t>
  </si>
  <si>
    <t>6037262100, 6037700700, 6037265100, 6037265301</t>
  </si>
  <si>
    <t>HOLLYWOOD, BELVEDERE, CRENSHAW, JUANITA</t>
  </si>
  <si>
    <t>6037209820, 6037212702, 6037216401, 6037218701, 6037218702, 6037221304, 6037212701, 6037207901, 6037216901, 6037221602, 6037269601, 6037224310, 6037209810, 6037209520, 6037217102, 6037216902, 6037217101, 6037221302, 6037224010, 6037212800, 6037212900, 6037213100, 6037224200, 6037224320, 6037270300, 6037213201, 6037213202, 6037213310, 6037213320, 6037213401, 6037216100, 6037216700, 6037213402, 6037216800, 6037217200, 6037218110, 6037218220, 6037218300, 6037218400, 6037218500, 6037224410, 6037221120, 6037221210, 6037221220, 6037207711, 6037217002, 6037221303, 6037209510, 6037210010, 6037221110, 6037218120</t>
  </si>
  <si>
    <t>HUNTINGTON PARK, HOLLYWOOD, BELVEDERE, CRENSHAW, JUANITA</t>
  </si>
  <si>
    <t>6037218701, 6037218702, 6037219902, 6037221304, 6037221402, 6037703200, 6037224702, 6037224701, 6037221602, 6037236203, 6037234501, 6037234502, 6037224310, 6037209810, 6037236102, 6037234301, 6037217102, 6037216202, 6037217101, 6037221302, 6037221500, 6037221900, 6037222100, 6037222200, 6037222700, 6037224010, 6037224020, 6037234600, 6037234700, 6037224200, 6037224320, 6037224600, 6037231100, 6037270200, 6037270300, 6037219700, 6037221820, 6037221601, 6037213402, 6037218110, 6037218210, 6037218220, 6037218300, 6037218400, 6037218500, 6037218600, 6037224410, 6037218800, 6037219500, 6037219800, 6037220000, 6037220100, 6037221120, 6037221210, 6037221220, 6037234200, 6037236101, 6037702400, 6037221110, 6037219300, 6037218120</t>
  </si>
  <si>
    <t>SANTA MONICA</t>
  </si>
  <si>
    <t>6037800412, 6037800411, 6037800406, 6037800410, 6037800504</t>
  </si>
  <si>
    <t>Station ID #: 2328</t>
  </si>
  <si>
    <t>6037800504, 6037800506</t>
  </si>
  <si>
    <t>Station ID #: 2316</t>
  </si>
  <si>
    <t>6037800506, 6037262604</t>
  </si>
  <si>
    <t>6037262704, 6037980019, 6037262604</t>
  </si>
  <si>
    <t>6037262601, 6037980019, 6037262604</t>
  </si>
  <si>
    <t>6037262704, 6037262604</t>
  </si>
  <si>
    <t>Station ID #: 375, 2351</t>
  </si>
  <si>
    <t>SANTA MONICA, HOLLYWOOD, CRENSHAW</t>
  </si>
  <si>
    <t>6037262303, 6037273502, 6037273902, 6037275102, 6037275603, 6037701902, 6037702102, 6037269907, 6037264102, 6037262706, 6037701304, 6037274202, 6037216401, 6037217001, 6037273700, 6037273800, 6037274100, 6037702202, 6037702300, 6037276601, 6037277000, 6037271600, 6037269908, 6037267503, 6037267406, 6037275313, 6037270102, 6037271703, 6037269909, 6037271704, 6037264306, 6037271803, 6037265524, 6037264304, 6037270101, 6037267201, 6037267405, 6037267504, 6037264305, 6037275101, 6037701402, 6037262501, 6037264103, 6037269601, 6037269903, 6037269905, 6037271902, 6037272201, 6037272202, 6037271801, 6037262400, 6037267502, 6037271500, 6037272301, 6037272302, 6037273100, 6037273200, 6037273300, 6037273600, 6037275604, 6037271804, 6037275312, 6037275605, 6037264303, 6037265410, 6037267800, 6037267600, 6037267700, 6037269800, 6037269000, 6037269100, 6037269300, 6037269500, 6037269700, 6037262302, 6037270200, 6037270300, 6037271100, 6037271200, 6037271300, 6037271400, 6037264000, 6037275500, 6037980019, 6037262802, 6037267403, 6037269602, 6037271901, 6037702900, 6037703003, 6037216700, 6037980038, 6037271702, 6037267404, 6037267300, 6037273403, 6037273404, 6037980017, 6037701201, 6037701202, 6037702400, 6037701302, 6037701501, 6037701502, 6037701601, 6037701602, 6037701701, 6037702501, 6037702502, 6037702600, 6037702700, 6037702802, 6037702803, 6037701702, 6037701801, 6037701802, 6037702201, 6037703002, 6037217002, 6037702002, 6037269906, 6037272100, 6037262301, 6037275311, 6037275400, 6037275200, 6037702801</t>
  </si>
  <si>
    <t>SANTA MONICA, 182ND ST., CRENSHAW</t>
  </si>
  <si>
    <t>6037234800, 6037601002, 6037600602, 6037600902, 6037600911, 6037600912, 6037601001, 6037601100, 6037601211, 6037601212, 6037601301, 6037601302, 6037601401, 6037703200, 6037234902, 6037601303, 6037234901, 6037601900, 6037276102, 6037276101, 6037601501, 6037604200, 6037602513, 6037234700, 6037235100, 6037235202, 6037980028, 6037601502, 6037601600, 6037602002, 6037602003, 6037601700, 6037601801, 6037601402, 6037601802, 6037601202, 6037703002, 6037703100, 6037277200, 6037277400</t>
  </si>
  <si>
    <t>182ND ST., HUNTINGTON PARK, COMPTON, CRENSHAW</t>
  </si>
  <si>
    <t>6037237900, 6037237600, 6037234800, 6037237102, 6037240401, 6037600100, 6037600201, 6037600202, 6037600302, 6037600400, 6037600501, 6037600601, 6037600602, 6037600702, 6037600703, 6037600704, 6037600801, 6037600802, 6037600912, 6037237101, 6037237202, 6037237401, 6037237402, 6037239602, 6037600304, 6037600303, 6037240402, 6037241202, 6037234901, 6037604200, 6037234600, 6037234700, 6037237720, 6037237800, 6037238000, 6037238100, 6037238200, 6037238310, 6037238320, 6037238400, 6037235201, 6037235202, 6037237710, 6037240200, 6037237201, 6037239201, 6037237500, 6037240301, 6037240302, 6037602801, 6037602700, 6037241201, 6037237300</t>
  </si>
  <si>
    <t>6037603802, 6037980013, 6037603702, 6037604101, 6037602202, 6037603902, 6037603705, 6037602602, 6037602511, 6037603801, 6037602505, 6037602506, 6037602507, 6037602402, 6037602403, 6037602404, 6037601501, 6037603901, 6037602512, 6037602601, 6037602510, 6037602201, 6037602513, 6037603706, 6037603703, 6037602504, 6037980028, 6037601502, 6037601600, 6037602002, 6037602103, 6037602104, 6037602302, 6037602301, 6037602106, 6037602105, 6037604001</t>
  </si>
  <si>
    <t>6037278102, 6037278001, 6037601302, 6037276601, 6037277000, 6037276606, 6037276608, 6037980028, 6037276605, 6037276607, 6037277100, 6037277200, 6037276000, 6037276400, 6037276500</t>
  </si>
  <si>
    <t>SANTA MONICA, 182ND ST.</t>
  </si>
  <si>
    <t>6037620001, 6037620002, 6037620101, 6037620102, 6037980028</t>
  </si>
  <si>
    <t>182ND ST.</t>
  </si>
  <si>
    <t>6037241300, 6037603102, 6037980005, 6037650001, 6037650101, 6037650200, 6037602900, 6037603004, 6037603101, 6037603200, 6037603301, 6037603302, 6037603400, 6037603500, 6037603600, 6037540901, 6037603007, 6037292001, 6037603008, 6037602602, 6037602802, 6037603006, 6037291120, 6037602601, 6037603706, 6037602801, 6037602700, 6037603005, 6037291110, 6037291130, 6037291210, 6037291220, 6037291300</t>
  </si>
  <si>
    <t>6037980013, 6037620002, 6037980028</t>
  </si>
  <si>
    <t>6037980013, 6037602302</t>
  </si>
  <si>
    <t>182ND ST., CRENSHAW</t>
  </si>
  <si>
    <t>6037601002, 6037600702, 6037600703, 6037600802, 6037600902, 6037600912, 6037601001, 6037601100, 6037601900, 6037602601, 6037602513, 6037235201, 6037235202, 6037602002, 6037602003, 6037602104, 6037602700, 6037602105, 6037601700, 6037601801, 6037601802</t>
  </si>
  <si>
    <t>CRENSHAW</t>
  </si>
  <si>
    <t>6037601302, 6037601401, 6037601303</t>
  </si>
  <si>
    <t>HOLLYWOOD, CRENSHAW, JUANITA</t>
  </si>
  <si>
    <t>6037222600, 6037231720, 6037218702, 6037219902, 6037221401, 6037222002, 6037703200, 6037224702, 6037224701, 6037236203, 6037236204, 6037234501, 6037234502, 6037221810, 6037219010, 6037232120, 6037236001, 6037236102, 6037234301, 6037231601, 6037231603, 6037234001, 6037236205, 6037231301, 6037231302, 6037231500, 6037221500, 6037221710, 6037221900, 6037222100, 6037222200, 6037222500, 6037222700, 6037234600, 6037234700, 6037235100, 6037224200, 6037224420, 6037231100, 6037231210, 6037231220, 6037231400, 6037231710, 6037270200, 6037232110, 6037232200, 6037219700, 6037221820, 6037221601, 6037222001, 6037236400, 6037218400, 6037218900, 6037219020, 6037224410, 6037232701, 6037232602, 6037232601, 6037232702, 6037219500, 6037219800, 6037220100, 6037232300, 6037232500, 6037234200, 6037232401, 6037234302, 6037231602, 6037236101, 6037234002, 6037236206, 6037702400, 6037702502, 6037703100, 6037219901, 6037219300, 6037232402</t>
  </si>
  <si>
    <t>182ND ST., COMPTON</t>
  </si>
  <si>
    <t>6037650401, 6037650901, 6037543501, 6037543502, 6037543503, 6037543603, 6037292002, 6037543605, 6037650904, 6037543606, 6037293206, 6037650903, 6037293203, 6037293205, 6037292001, 6037651001, 6037651002, 6037291300, 6037293302, 6037293301</t>
  </si>
  <si>
    <t>182ND ST., SAN PEDRO</t>
  </si>
  <si>
    <t>6037670001, 6037670002, 6037670003, 6037670101, 6037650801, 6037670102, 6037650802, 6037651001, 6037651002, 6037651101, 6037651102, 6037670201, 6037651401, 6037293302, 6037293301</t>
  </si>
  <si>
    <t>6037620301, 6037621201, 6037603802, 6037620521, 6037980005, 6037620305, 6037621104, 6037621204, 6037621324, 6037650004, 6037650401, 6037650901, 6037604002, 6037543502, 6037543503, 6037621301, 6037650001, 6037650101, 6037650102, 6037650200, 6037650300, 6037650501, 6037650502, 6037650603, 6037650701, 6037603301, 6037603302, 6037603702, 6037620501, 6037620522, 6037620521, 6037620522, 6037620400, 6037620601, 6037650606, 6037292002, 6037650801, 6037620703, 6037620704, 6037620801, 6037620802, 6037604102, 6037621005, 6037604101, 6037543605, 6037650904, 6037293204, 6037543606, 6037293206, 6037650903, 6037293203, 6037293205, 6037650802, 6037292001, 6037603902, 6037650605, 6037620602, 6037620701, 6037620901, 6037621001, 6037621102, 6037650702, 6037651201, 6037620303, 6037650604, 6037980030, 6037650607, 6037602302, 6037620201, 6037604001, 6037620904, 6037650003, 6037291300</t>
  </si>
  <si>
    <t>6037980013, 6037620400, 6037602302</t>
  </si>
  <si>
    <t>SAN PEDRO</t>
  </si>
  <si>
    <t>6037294701, 6037980014, 6037294830, 6037980031</t>
  </si>
  <si>
    <t>SAN PEDRO, COMPTON</t>
  </si>
  <si>
    <t>6037980002, 6037294301, 6037294302, 6037294701, 6037543703, 6037980014, 6037294830, 6037294520, 6037980031, 6037980037, 6037294810, 6037980015, 6037294110, 6037294120, 6037294200, 6037294410, 6037294620, 6037294510, 6037294820, 6037294900, 6037294610</t>
  </si>
  <si>
    <t>6037621201, 6037621204, 6037621324, 6037621326, 6037651302, 6037670413, 6037670202, 6037670406, 6037670407, 6037651304, 6037651402, 6037670326, 6037670328, 6037670416, 6037621301, 6037621400, 6037670604, 6037670603, 6037670500, 6037670417, 6037670418, 6037650702, 6037651101, 6037651102, 6037651201, 6037651222, 6037670201, 6037670405, 6037651401, 6037670324, 6037651221</t>
  </si>
  <si>
    <t>6037296220, 6037297201, 6037297110, 6037293306, 6037294302, 6037294421, 6037296401, 6037296402, 6037296902, 6037297202, 6037297601, 6037297602, 6037670002, 6037543603, 6037609900, 6037297002, 6037297001, 6037670604, 6037670500, 6037670701, 6037670101, 6037297501, 6037297502, 6037295103, 6037293307, 6037670702, 6037670201, 6037296901, 6037980031, 6037296600, 6037980015, 6037293302, 6037293304, 6037294410, 6037294900, 6037296210, 6037296300, 6037296500, 6037297120, 6037297300, 6037297400</t>
  </si>
  <si>
    <t>6037980028, 6037277200</t>
  </si>
  <si>
    <t>SANTA MONICA, SATICOY</t>
  </si>
  <si>
    <t>SATICOY, HOLLYWOOD</t>
  </si>
  <si>
    <t>6037543905, 6037543703, 6037294110</t>
  </si>
  <si>
    <t>COMPTON</t>
  </si>
  <si>
    <t>6037543903, 6037543701, 6037543306, 6037543400, 6037543501, 6037543905, 6037543601, 6037543703, 6037543801, 6037543704, 6037543705, 6037543607, 6037543803, 6037543804</t>
  </si>
  <si>
    <t>6037570402, 6037544001, 6037543305</t>
  </si>
  <si>
    <t>Station ID #: 2148, 2143, 5018</t>
  </si>
  <si>
    <t>6037543201, 6037540502, 6037541606, 6037541500, 6037570404, 6037543306, 6037543322, 6037543400, 6037542104, 6037541605, 6037541801, 6037541802, 6037542000, 6037542401, 6037542402, 6037542502, 6037542601, 6037542602, 6037542700, 6037542800, 6037542900, 6037535802, 6037535607, 6037540000, 6037540101, 6037540102, 6037540202, 6037540203, 6037540300, 6037540501, 6037540600, 6037540700, 6037540901, 6037540902, 6037543203, 6037541003, 6037541402, 6037542501, 6037241001, 6037291120, 6037535902, 6037542103, 6037553701, 6037541100, 6037541300, 6037541603, 6037541604, 6037543304, 6037241400, 6037241002, 6037980025, 6037543305, 6037543321, 6037543100, 6037542200, 6037540201, 6037541401, 6037542105, 6037543000, 6037541200, 6037540800, 6037542106, 6037541700, 6037291110, 6037291130, 6037291210, 6037291220, 6037291300</t>
  </si>
  <si>
    <t>HUNTINGTON PARK, COMPTON, CRENSHAW</t>
  </si>
  <si>
    <t>6037532900, 6037242600, 6037237600, 6037533002, 6037535002, 6037534900, 6037535101, 6037535102, 6037535200, 6037535300, 6037535400, 6037535603, 6037540300, 6037540400, 6037540600, 6037540700, 6037239202, 6037239501, 6037239502, 6037239602, 6037239701, 6037533001, 6037241001, 6037239702, 6037239802, 6037239801, 6037532700, 6037532607, 6037240901, 6037243002, 6037240902, 6037239320, 6037239330, 6037240700, 6037240800, 6037241110, 6037241120, 6037240010, 6037240200, 6037240500, 6037242700, 6037242100, 6037243100, 6037242000, 6037239201, 6037239601, 6037242202, 6037243001, 6037242201, 6037240600, 6037239310, 6037532800, 6037535001, 6037242300, 6037240020, 6037533103</t>
  </si>
  <si>
    <t>HUNTINGTON PARK, COMPTON</t>
  </si>
  <si>
    <t>6037536103, 6037534301, 6037534302, 6037536000, 6037540101, 6037536104</t>
  </si>
  <si>
    <t>6037534700, 6037535604, 6037536103, 6037534502, 6037534802, 6037534803, 6037534804, 6037534900, 6037535300, 6037535502, 6037535603, 6037535605, 6037535701, 6037535702, 6037535802, 6037535803, 6037535606, 6037535804, 6037535901, 6037536000, 6037535607, 6037540101, 6037540202, 6037535902, 6037534501, 6037533108, 6037533204, 6037540201, 6037535501, 6037535503, 6037533103</t>
  </si>
  <si>
    <t>HUNTINGTON PARK</t>
  </si>
  <si>
    <t>6037533403, 6037533701, 6037533402, 6037533501, 6037533703, 6037533803, 6037533804, 6037533806, 6037534301, 6037534302, 6037534404, 6037534405, 6037534406, 6037534502, 6037980016, 6037533805, 6037533201, 6037533300, 6037533401, 6037533601, 6037533602, 6037533702, 6037534403, 6037533504, 6037533603</t>
  </si>
  <si>
    <t>6037533105, 6037980016, 6037532606, 6037532500, 6037532605, 6037533104, 6037533201, 6037533602, 6037532607, 6037533108, 6037533204, 6037533103</t>
  </si>
  <si>
    <t>6037228600, 6037532900, 6037228500, 6037534803, 6037534900, 6037535101, 6037535102, 6037535200, 6037980016, 6037239202, 6037239501, 6037533001, 6037532700, 6037532607, 6037228710, 6037228720, 6037228800, 6037228900, 6037229100, 6037239330, 6037240700, 6037229200, 6037229300, 6037229410, 6037229420, 6037239201, 6037232800, 6037532800, 6037231902, 6037535001, 6037240020, 6037533103, 6037231901</t>
  </si>
  <si>
    <t>HUNTINGTON PARK, BELVEDERE</t>
  </si>
  <si>
    <t>6037228600, 6037226001, 6037226002, 6037980016, 6037226702, 6037206051, 6037227020, 6037228100, 6037228210, 6037228220, 6037228310, 6037228320, 6037228710, 6037228720, 6037228800, 6037227010</t>
  </si>
  <si>
    <t>6037228600, 6037228410, 6037228500, 6037226001, 6037226002, 6037207502, 6037226702, 6037206303, 6037206301, 6037207901, 6037206202, 6037207712, 6037207308, 6037206052, 6037206302, 6037206201, 6037207305, 6037207306, 6037226701, 6037207303, 6037207902, 6037206051, 6037207304, 6037207307, 6037224010, 6037224020, 6037224600, 6037226410, 6037227020, 6037228310, 6037228320, 6037228420, 6037229300, 6037231100, 6037231800, 6037231902, 6037207711, 6037227010, 6037226420, 6037231901, 6037207400</t>
  </si>
  <si>
    <t>6037533403, 6037533701, 6037533402, 6037533703, 6037533803, 6037533804, 6037980016, 6037532302, 6037532303, 6037532304, 6037532500, 6037532605, 6037533201, 6037533300, 6037533602, 6037533702, 6037206051, 6037532607, 6037533204, 6037531302, 6037204700, 6037204820, 6037533603, 6037204920, 6037205110, 6037205120, 6037206050</t>
  </si>
  <si>
    <t>BELVEDERE</t>
  </si>
  <si>
    <t>6037204410, 6037531503, 6037206053, 6037531502, 6037531202, 6037531201, 6037531301, 6037203900, 6037204120, 6037204300, 6037204600, 6037204700, 6037204810, 6037204910, 6037204420, 6037206050</t>
  </si>
  <si>
    <t>ALHAMBRA, BELVEDERE</t>
  </si>
  <si>
    <t>6037531800, 6037204200, 6037531101, 6037482701, 6037531503, 6037530203, 6037530204, 6037530500, 6037530400, 6037203601, 6037203602, 6037203200, 6037531701, 6037531901, 6037531902, 6037532001, 6037532303, 6037530801, 6037530802, 6037530901, 6037531000, 6037531102, 6037530202, 6037530302, 6037530301, 6037203710, 6037203720, 6037203900, 6037203800, 6037530902</t>
  </si>
  <si>
    <t>ALHAMBRA, BELVEDERE, GLENDALE, PASADENA</t>
  </si>
  <si>
    <t>6037531800, 6037461502, 6037482202, 6037482304, 6037482503, 6037481711, 6037482701, 6037480303, 6037481605, 6037481606, 6037201601, 6037201602, 6037480304, 6037531503, 6037531504, 6037530005, 6037530203, 6037530500, 6037530400, 6037482002, 6037480202, 6037480102, 6037480012, 6037480002, 6037480101, 6037461300, 6037530603, 6037482801, 6037460900, 6037461400, 6037461501, 6037462800, 6037463000, 6037480703, 6037480704, 6037480802, 6037480901, 6037463900, 6037464000, 6037464200, 6037480803, 6037480903, 6037481712, 6037481713, 6037481714, 6037481800, 6037481901, 6037481902, 6037482001, 6037482101, 6037480400, 6037480500, 6037531502, 6037531603, 6037531604, 6037531701, 6037531702, 6037531901, 6037532303, 6037480902, 6037481001, 6037461200, 6037482403, 6037480602, 6037464102, 6037464101, 6037531602, 6037463601, 6037480201, 6037530700, 6037530801, 6037530802, 6037531000, 6037462900, 6037462500, 6037530202, 6037530302, 6037530301, 6037199120, 6037199700, 6037199900, 6037201700, 6037203100, 6037203300, 6037203500, 6037530902, 6037463200, 6037463300, 6037463400, 6037463500, 6037201402, 6037460101</t>
  </si>
  <si>
    <t>BELVEDERE, GLENDALE</t>
  </si>
  <si>
    <t>6037204200, 6037204410, 6037531101, 6037207102, 6037206303, 6037206053, 6037206054, 6037206051, 6037531102, 6037531201, 6037203500, 6037203900, 6037204110, 6037204120, 6037204300, 6037204600, 6037204810, 6037204420, 6037206020, 6037206050</t>
  </si>
  <si>
    <t>6037532302, 6037531302</t>
  </si>
  <si>
    <t>HOLLYWOOD, BELVEDERE, JUANITA, GLENDALE</t>
  </si>
  <si>
    <t>6037208402, 6037208502, 6037208801, 6037212502, 6037207101, 6037207102, 6037207502, 6037207901, 6037207712, 6037207501, 6037208501, 6037209402, 6037212305, 6037197600, 6037209201, 6037208001, 6037209106, 6037212202, 6037212306, 6037212420, 6037212610, 6037212620, 6037213320, 6037213401, 6037209401, 6037207711, 6037208802, 6037212501, 6037209300, 6037209510, 6037209403, 6037195720, 6037207400</t>
  </si>
  <si>
    <t>182ND ST., BELVEDERE, WHITTIER</t>
  </si>
  <si>
    <t>6037621324, 6037530005, 6037530101, 6037530102, 6037530203, 6037530204, 6037530006, 6037531902, 6037532001, 6037532101, 6037532002, 6037532200, 6037532303, 6037532304, 6037530007, 6037980036, 6037532102</t>
  </si>
  <si>
    <t>6037541003, 6037291300</t>
  </si>
  <si>
    <t>6037544001, 6037544002, 6037572301, 6037577700, 6037543305</t>
  </si>
  <si>
    <t>6037980002, 6037294110</t>
  </si>
  <si>
    <t>HOLLYWOOD</t>
  </si>
  <si>
    <t>JUANITA</t>
  </si>
  <si>
    <t>6037206052, 6037206051</t>
  </si>
  <si>
    <t>LANCASTER</t>
  </si>
  <si>
    <t>6037910804, 6037910815</t>
  </si>
  <si>
    <t>VALENCIA</t>
  </si>
  <si>
    <t>LANCASTER, VALENCIA</t>
  </si>
  <si>
    <t>VISALIA</t>
  </si>
  <si>
    <t>BAKERSFIELD</t>
  </si>
  <si>
    <t>6029006202, 6029006304, 6029006301, 6029006011, 6029006303</t>
  </si>
  <si>
    <t>TEMPLETON, SAN LUIS OBISPO</t>
  </si>
  <si>
    <t>6079012503, 6079012505, 6079013000, 6079012705, 6079012601, 6079012706, 6079013100, 6079010505, 6079012602, 6079012502</t>
  </si>
  <si>
    <t>SAN LUIS OBISPO</t>
  </si>
  <si>
    <t>6029000400, 6029000504, 6029000506, 6029000507, 6029003807, 6029003806, 6029000505, 6029003810, 6029003900, 6029003808, 6029003811, 6029003812, 6029005103, 6029000102, 6029003815, 6029003824, 6029003826, 6029003818, 6029003823, 6029003821, 6029000510, 6029003825, 6029003822, 6029000106, 6029000105, 6029000508, 6029000509, 6029003820, 6029003816, 6029003817, 6029000201, 6029000104, 6029000103, 6029003814, 6029003827, 6029003819</t>
  </si>
  <si>
    <t>6079010703, 6079010701, 6079010707, 6079013000</t>
  </si>
  <si>
    <t>VENTURA</t>
  </si>
  <si>
    <t>6111005602, 6111005700</t>
  </si>
  <si>
    <t>Station ID #: 2567</t>
  </si>
  <si>
    <t>SANTA MARIA</t>
  </si>
  <si>
    <t>6111005602, 6111005601</t>
  </si>
  <si>
    <t>6111005602, 6111004704</t>
  </si>
  <si>
    <t>6079010404, 6079010403, 6079013000</t>
  </si>
  <si>
    <t>SIMI, CANOGA</t>
  </si>
  <si>
    <t>6037134305, 6037134002, 6037134423, 6037134904, 6037137104, 6037800204, 6037134422, 6037134520, 6037135102, 6037135111, 6037135202, 6037137000, 6037134905, 6037134521, 6037135113, 6037137103, 6037800202, 6037113239, 6037113427, 6037800101, 6037135116, 6037137202, 6037137203, 6037135205, 6037134801, 6037113237, 6037113231, 6037134424, 6037800104, 6037800103, 6037113232, 6037113234, 6037800206, 6037134201, 6037134522, 6037134306, 6037113238, 6037134906, 6037980023, 6111007405, 6111007511, 6037134710, 6037134302, 6037134303, 6037134304, 6037134421, 6037134001, 6037137301, 6037137302, 6037137401, 6037137402, 6037135201, 6037137502, 6037138000, 6037135204, 6037135115, 6037134907, 6037137501</t>
  </si>
  <si>
    <t>6107001400, 6107001602, 6107001601</t>
  </si>
  <si>
    <t>6107001400, 6107001602, 6107001703</t>
  </si>
  <si>
    <t>Station ID #: 1170</t>
  </si>
  <si>
    <t>6111000303, 6111000302, 6111000304</t>
  </si>
  <si>
    <t>6111000303, 6111000304</t>
  </si>
  <si>
    <t>Station ID #: 775, 876</t>
  </si>
  <si>
    <t>SATICOY, CANOGA</t>
  </si>
  <si>
    <t>6037109700, 6037108103, 6037117404, 6037111205, 6037117302, 6037117303, 6037920303, 6037113301, 6037113303, 6037113322, 6037115101, 6037115202, 6037115301, 6037115401, 6037115104, 6037106645, 6037109603, 6037111206, 6037113101, 6037113102, 6037117202, 6037113239, 6037115204, 6037113324, 6037113323, 6037111304, 6037113424, 6037106642, 6037106643, 6037108101, 6037108102, 6037127400, 6037109100, 6037109200, 6037109300, 6037106646, 6037108104, 6037111100, 6037111201, 6037111202, 6037111204, 6037111302, 6037109800, 6037113211, 6037113212, 6037108202, 6037113237, 6037106603, 6037113426, 6037113425, 6037108204, 6037115203, 6037106641, 6037113234, 6037117301, 6037115103, 6037980022, 6037113213, 6037111402, 6037111303, 6037108203, 6037111401</t>
  </si>
  <si>
    <t>6037910002, 6037900103, 6037900104, 6037911001, 6037900102</t>
  </si>
  <si>
    <t>6037900705, 6037900704, 6037910218</t>
  </si>
  <si>
    <t>6037900704, 6037910218</t>
  </si>
  <si>
    <t>Station ID #: 930</t>
  </si>
  <si>
    <t>6037900701, 6037901009, 6037901010, 6037901011, 6037901007, 6037910212, 6037900703, 6037900705, 6037900704, 6037910211, 6037901013, 6037900901, 6037901014, 6037900607, 6037901008, 6037900804, 6037900805, 6037900806, 6037900807, 6037900808, 6037900606</t>
  </si>
  <si>
    <t>6037910002, 6037911100</t>
  </si>
  <si>
    <t>6037910002, 6037911001</t>
  </si>
  <si>
    <t>6083003102, 6083002707, 6083002708, 6083002710, 6083002703, 6083002705, 6083002706, 6083002802, 6083002806, 6083002709, 6083002809</t>
  </si>
  <si>
    <t>6083001911, 6083002809</t>
  </si>
  <si>
    <t>6079012302, 6079012305, 6079012406, 6079012306, 6079011901</t>
  </si>
  <si>
    <t>Station ID #: 449</t>
  </si>
  <si>
    <t>6111002800, 6111001511, 6111001509, 6111001510, 6111001303, 6111001508, 6111001304, 6111001402, 6111001506, 6111001507, 6111001201, 6111001302, 6111001401</t>
  </si>
  <si>
    <t>SIMI</t>
  </si>
  <si>
    <t>6111009300, 6111007609, 6111007610, 6111007611, 6111007612, 6111007613, 6111007614, 6111007607, 6111007700</t>
  </si>
  <si>
    <t>6111009300, 6111007614</t>
  </si>
  <si>
    <t>6079010603, 6079013000, 6079010506, 6079011505, 6079010505, 6079010602</t>
  </si>
  <si>
    <t>6111009300, 6111007613</t>
  </si>
  <si>
    <t>6079012305, 6079012406, 6079012403, 6079012306, 6079012405, 6079012404</t>
  </si>
  <si>
    <t>6111004717, 6111009100, 6111004716</t>
  </si>
  <si>
    <t>6111005006, 6111009300, 6111005004</t>
  </si>
  <si>
    <t>6111009500, 6111000903, 6111001101, 6111001204, 6111000901, 6111001102, 6111000902, 6111001002</t>
  </si>
  <si>
    <t>6111004704, 6111004715</t>
  </si>
  <si>
    <t>Station ID #: 2592</t>
  </si>
  <si>
    <t>Station ID #: 9111</t>
  </si>
  <si>
    <t>6111003608, 6111003700, 6111004000, 6111004101, 6111004200, 6111004503, 6111004504, 6111003615, 6111003617, 6111003101, 6111003902, 6111004507, 6111004508, 6111005307, 6111003301, 6111005006, 6111005602, 6111003102, 6111009200, 6111003618, 6111008601, 6111003613, 6111003614, 6111003302, 6111005601, 6111008602, 6111005308, 6111009300, 6111005005, 6111003616, 6111003901, 6111005002, 6111005202, 6111005203, 6111005304, 6111005306, 6111005403, 6111005404, 6111005502, 6111005503, 6111005504, 6111004901, 6111004902, 6111005204, 6111003802, 6111004305, 6111004711, 6111004715, 6111005004, 6111008700, 6111008800, 6111008900, 6111009100, 6111003013, 6111004716, 6111005305, 6111002901, 6111003201, 6111004304, 6111004710, 6111004505, 6111002905, 6111003011, 6111004400, 6111005401, 6111003801, 6111005205, 6111003010</t>
  </si>
  <si>
    <t>6037910210, 6037901007, 6037910215, 6037910212, 6037910401, 6037910211, 6037910217, 6037910214, 6037910218, 6037910216</t>
  </si>
  <si>
    <t>6037910213, 6037910401</t>
  </si>
  <si>
    <t>6037980004, 6037911100</t>
  </si>
  <si>
    <t>6037910707, 6037910213, 6037910505</t>
  </si>
  <si>
    <t>BRANFORD, SATICOY</t>
  </si>
  <si>
    <t>6037117404, 6037117520, 6037120300, 6037120400, 6037121210, 6037121600, 6037122000, 6037104821, 6037119201, 6037104404, 6037104704, 6037109603, 6037109604, 6037104403, 6037117101, 6037117201, 6037117407, 6037117408, 6037119342, 6037120103, 6037119001, 6037119202, 6037120104, 6037120107, 6037120108, 6037120105, 6037104823, 6037119802, 6037117530, 6037119310, 6037119340, 6037119700, 6037119900, 6037120020, 6037120030, 6037104310, 6037104401, 6037104500, 6037104610, 6037104620, 6037104701, 6037123303, 6037127400, 6037109100, 6037109400, 6037109500, 6037109601, 6037127520, 6037104824, 6037117405, 6037104822, 6037117102, 6037119341, 6037120106, 6037119320, 6037119801, 6037119004, 6037119400, 6037120010, 6037117510, 6037104322, 6037119003</t>
  </si>
  <si>
    <t>TEMPLETON</t>
  </si>
  <si>
    <t>6079010202, 6079010204, 6079010303, 6079010104, 6079010103, 6079010205, 6079010101, 6079010301, 6079010206, 6079010302, 6079010207</t>
  </si>
  <si>
    <t>6079011600, 6079011704, 6079011706, 6079011705</t>
  </si>
  <si>
    <t>6037910210, 6037901010, 6037901007, 6037901101, 6037901102, 6037910212, 6037901216, 6037901012, 6037910301, 6037910302, 6037910211, 6037901215, 6037901013, 6037901218, 6037910216</t>
  </si>
  <si>
    <t>6037131300, 6037115302, 6037131400, 6037131900, 6037115403, 6037132002, 6037132101, 6037117302, 6037132102, 6037115401, 6037115104, 6037980008, 6037115404, 6037131024, 6037131802, 6037131022, 6037131100, 6037131200, 6037132700, 6037132900, 6037131021, 6037131023, 6037131801, 6037132001, 6037132302, 6037132301</t>
  </si>
  <si>
    <t>Station ID #: 2256, 700, 790</t>
  </si>
  <si>
    <t>SANTA MONICA, SATICOY, CANOGA</t>
  </si>
  <si>
    <t>6037139703, 6037115302, 6037134101, 6037131600, 6037131702, 6037132501, 6037132502, 6037134904, 6037137104, 6037139001, 6037139402, 6037134901, 6037134905, 6037131701, 6037139401, 6037980024, 6037113427, 6037139506, 6037139505, 6037133101, 6037133102, 6037131024, 6037134801, 6037134802, 6037113424, 6037139802, 6037134720, 6037139301, 6037139302, 6037139502, 6037139600, 6037139701, 6037139801, 6037141500, 6037113426, 6037113425, 6037113234, 6037139704, 6037139705, 6037132900, 6037133000, 6037134103, 6037134104, 6037134201, 6037139504, 6037113428, 6037113423, 6037131023, 6037134710, 6037141400, 6037262301, 6037139303, 6037137504, 6037138000, 6037139200, 6037137501</t>
  </si>
  <si>
    <t>SANTA BARBARA</t>
  </si>
  <si>
    <t>6029005804, 6029005806, 6029005803, 6029005805, 6029005513, 6029005514</t>
  </si>
  <si>
    <t>SANTA MARIA, SAN LUIS OBISPO</t>
  </si>
  <si>
    <t>6079011501, 6079011600, 6079012302, 6079010902, 6079011101, 6079011103, 6079011002, 6079010903, 6079012102, 6079011001, 6079013000, 6079011505, 6079010904, 6079011201, 6079011202, 6079011105, 6079011706, 6079012002, 6079011705, 6079012001, 6079012201, 6079012202, 6079011104, 6079011904, 6079011903, 6079011300, 6079011901, 6079011800</t>
  </si>
  <si>
    <t>Station ID #: 2561, 327, 2547</t>
  </si>
  <si>
    <t>6083001704, 6083000302, 6111009500, 6083001001, 6083001403, 6083002937, 6083002935, 6083002934, 6083000805, 6083001307, 6083000806, 6083002933, 6083001308, 6083001002, 6083002936, 6083000201, 6083980300, 6083001404, 6083001208, 6083001604, 6083980000, 6083000102, 6083002924, 6083002926, 6083002932, 6083003007, 6083003005, 6083000400, 6083000801, 6083000202, 6083000900, 6083001101, 6083001102, 6083000501, 6083000103, 6083000502, 6083002907, 6083000600, 6083000700, 6083001500, 6083001203, 6083001601, 6083002906, 6083002909, 6083002913, 6083002914, 6083000101, 6083003001, 6083003004, 6083000301, 6083001306, 6083001706, 6083001206</t>
  </si>
  <si>
    <t>6083002410, 6083002503, 6083002409, 6083002011, 6083002013</t>
  </si>
  <si>
    <t>Station ID #: 2565</t>
  </si>
  <si>
    <t>6083002211, 6083002410, 6083002406, 6083002308, 6083002503, 6083002407, 6083002409, 6083002310, 6083002309, 6083002405, 6083002307, 6083002008, 6083002009, 6083002011, 6083002012, 6083002205, 6083002101, 6083002102, 6083002103, 6083002013, 6083002206, 6083002209, 6083002210, 6083002304, 6083002014, 6079012306, 6083002015, 6083002408, 6083002010, 6083002006, 6083002005, 6083002303</t>
  </si>
  <si>
    <t>Station ID #: 143</t>
  </si>
  <si>
    <t>6111000702, 6111000400, 6111000600, 6111000800, 6111000500, 6111000701</t>
  </si>
  <si>
    <t>6111000400, 6111000500</t>
  </si>
  <si>
    <t>6111001201, 6111000800</t>
  </si>
  <si>
    <t>VENTURA, SIMI</t>
  </si>
  <si>
    <t>6111005305, 6111007613, 6111007607, 6111006400</t>
  </si>
  <si>
    <t>6083001910, 6083001905, 6083001905, 6083001908, 6083001909, 6083001908</t>
  </si>
  <si>
    <t>Station ID #: 2651</t>
  </si>
  <si>
    <t>6111008307, 6111007515, 6111008308, 6111008502, 6111007516, 6111008501, 6111007505, 6111007507, 6111007513, 6111008002, 6111008004, 6111008101, 6111008201, 6111008202, 6111008302, 6111008303, 6111008401, 6111007512, 6111007510, 6111007613, 6111008402, 6111008304, 6111007800, 6111007700, 6111007903, 6111007904, 6111007506, 6111008001, 6111007901, 6111008005</t>
  </si>
  <si>
    <t>6111009300, 6111005202</t>
  </si>
  <si>
    <t>6079012707, 6079012706, 6079013100, 6079010302</t>
  </si>
  <si>
    <t>6111007515, 6111006101, 6037800204, 6111007403, 6111007201, 6037800202, 6037800338, 6037800205, 6037800328, 6037800325, 6037800504, 6037800104, 6037800335, 6037800337, 6037800336, 6037800324, 6037800334, 6037800333, 6037800206, 6111007405, 6111007406, 6111007509, 6111007510, 6111007508, 6111005906, 6111006301, 6111006200, 6111006302, 6111006500, 6111006600, 6111006700, 6111006800, 6111006400, 6111007300, 6111005911, 6111007202, 6111005907, 6111007402, 6111006900, 6111007000, 6111007100</t>
  </si>
  <si>
    <t>6111005803, 6111005804, 6111005602, 6111006101, 6111006102, 6111005901, 6111005908, 6111005909, 6111006000, 6111005910, 6111005801, 6111007300, 6111005911</t>
  </si>
  <si>
    <t>6083002809, 6083002808</t>
  </si>
  <si>
    <t>6111009500, 6111001204</t>
  </si>
  <si>
    <t>6111002700, 6111002800, 6111009600, 6111001901, 6111002302, 6111002301, 6111001801, 6111009400, 6111001602, 6111002000, 6111001202, 6111002102, 6111002200, 6111002400, 6111002500, 6111002600</t>
  </si>
  <si>
    <t>6111001201, 6111001204</t>
  </si>
  <si>
    <t>6037901101, 6037901214, 6037901012, 6037901014, 6037901216, 6037901003, 6037901013</t>
  </si>
  <si>
    <t>6019001700, 6019007600</t>
  </si>
  <si>
    <t>6019007700, 6019007600</t>
  </si>
  <si>
    <t>6029005512, 6029005511, 6029005508</t>
  </si>
  <si>
    <t>6107003201, 6031980100, 6031001601, 6031001300, 6031001500, 6031001402, 6031001401</t>
  </si>
  <si>
    <t>6107000600, 6107000202, 6107000203, 6107000204</t>
  </si>
  <si>
    <t>BAKERSFIELD, VISALIA</t>
  </si>
  <si>
    <t>6029004901, 6029004601, 6029004605, 6029005006, 6029005005, 6029004903, 6029004904, 6029004802, 6029004801, 6029004603, 6029005003, 6107004302, 6107004301, 6029004606, 6029004607</t>
  </si>
  <si>
    <t>6107000502, 6107000401, 6107000303</t>
  </si>
  <si>
    <t>6107000502, 6107000401, 6019006501, 6107000402, 6107000501, 6019006301</t>
  </si>
  <si>
    <t>Station ID #: 1244</t>
  </si>
  <si>
    <t>6107004402, 6107004401</t>
  </si>
  <si>
    <t>6107001400, 6107001501</t>
  </si>
  <si>
    <t>6107001400, 6107001502</t>
  </si>
  <si>
    <t>6107001502, 6107001602</t>
  </si>
  <si>
    <t>6107001400, 6107001502, 6107001501</t>
  </si>
  <si>
    <t>6029003308, 6029003305</t>
  </si>
  <si>
    <t>6029006011, 6029003307</t>
  </si>
  <si>
    <t>6031000500, 6031000800, 6031001002, 6031001003, 6031001100</t>
  </si>
  <si>
    <t>6031000902, 6031000603, 6031000604, 6031000901, 6031000100, 6031000500, 6031000602, 6031000701, 6031000702, 6031000800, 6031001001, 6031001002</t>
  </si>
  <si>
    <t>6029002401, 6029006201</t>
  </si>
  <si>
    <t>6107000801, 6107000802, 6107001304</t>
  </si>
  <si>
    <t>Station ID #: 1280</t>
  </si>
  <si>
    <t>Station ID #: 1316B, 1318</t>
  </si>
  <si>
    <t>6107000303, 6019007300, 6019007400, 6019007204, 6019007203, 6019007202</t>
  </si>
  <si>
    <t>6107000302, 6107000303</t>
  </si>
  <si>
    <t>6029006202, 6029006406, 6029006405, 6029006404, 6029006403, 6029006201</t>
  </si>
  <si>
    <t>Station ID #: 1573</t>
  </si>
  <si>
    <t>6029003308, 6029006011</t>
  </si>
  <si>
    <t>Station ID #: 1390</t>
  </si>
  <si>
    <t>6031000406, 6031000407, 6031000402, 6031001601, 6031000200, 6031000403, 6031000405, 6031000500</t>
  </si>
  <si>
    <t>6107002601, 6107002602, 6107002500, 6107002800</t>
  </si>
  <si>
    <t>6107002500, 6107002800</t>
  </si>
  <si>
    <t>6107000502, 6107000302, 6107000303, 6107000304</t>
  </si>
  <si>
    <t>6029004605, 6029004704</t>
  </si>
  <si>
    <t>Station ID #: 1537</t>
  </si>
  <si>
    <t>6029004605, 6029004703, 6029004704, 6029004702</t>
  </si>
  <si>
    <t>6029003304, 6029003307</t>
  </si>
  <si>
    <t>Station ID #: 1342</t>
  </si>
  <si>
    <t>6107000302, 6107000600, 6107000902, 6107000304</t>
  </si>
  <si>
    <t>6079012302, 6079012306</t>
  </si>
  <si>
    <t>6107000202, 6019006502, 6019006501</t>
  </si>
  <si>
    <t>6019008501, 6019006802, 6019008504, 6019008503</t>
  </si>
  <si>
    <t>Station ID #: 1379</t>
  </si>
  <si>
    <t>6079012707, 6079010302</t>
  </si>
  <si>
    <t>Station ID #: 1640</t>
  </si>
  <si>
    <t>6029004500, 6029004605, 6029004606</t>
  </si>
  <si>
    <t>6107003202, 6107003401, 6107003201, 6107003302</t>
  </si>
  <si>
    <t>6107003902, 6107003904, 6107003401, 6107003302, 6107003601, 6107003602, 6107003700, 6107003801, 6107003802, 6107003301, 6107004104, 6107003504, 6107003503, 6107004103, 6107003903, 6107003501</t>
  </si>
  <si>
    <t>6107003904, 6107003401, 6107004102, 6107004104, 6107004103, 6107003402</t>
  </si>
  <si>
    <t>6107003700, 6107003301</t>
  </si>
  <si>
    <t>6107003902, 6107003402</t>
  </si>
  <si>
    <t>Station ID #: 1374</t>
  </si>
  <si>
    <t>6019007600, 6019007500</t>
  </si>
  <si>
    <t>Station ID #: 1377</t>
  </si>
  <si>
    <t>6019006900, 6019006802</t>
  </si>
  <si>
    <t>Station ID #: 1366</t>
  </si>
  <si>
    <t>6107000303, 6019006602, 6019006603, 6019006802, 6019006606, 6019006301, 6019006605, 6019006700</t>
  </si>
  <si>
    <t>6029004605, 6107004500, 6107004301</t>
  </si>
  <si>
    <t>6019007700, 6019007400</t>
  </si>
  <si>
    <t>6031000200, 6019007700</t>
  </si>
  <si>
    <t>Station ID #: 1344</t>
  </si>
  <si>
    <t>6019001700, 6019007300</t>
  </si>
  <si>
    <t>6019006900, 6019007004, 6019007003</t>
  </si>
  <si>
    <t>6029004500, 6029004305, 6029006600</t>
  </si>
  <si>
    <t>6029003900, 6029004101, 6029004102, 6029004305, 6029003823, 6029003213, 6029004001, 6029004002, 6029003827, 6029006600</t>
  </si>
  <si>
    <t>6029002820, 6029001801, 6029002804, 6029002806, 6029002807, 6029002811, 6029002813, 6029002814, 6029002816, 6029002817, 6029003221, 6029003135, 6029003212, 6029001804, 6029001803, 6029002824, 6029003220, 6029002825</t>
  </si>
  <si>
    <t>Medium-pressure</t>
  </si>
  <si>
    <t>Station ID #: 1339</t>
  </si>
  <si>
    <t>6029003303, 6029003500, 6029003304</t>
  </si>
  <si>
    <t>6029003500, 6029003304</t>
  </si>
  <si>
    <t>6029006012, 6029006010</t>
  </si>
  <si>
    <t>6029006010, 6029006006</t>
  </si>
  <si>
    <t>6029006003, 6029006101, 6029006102, 6029006012, 6029006006</t>
  </si>
  <si>
    <t>6029006011, 6029006012</t>
  </si>
  <si>
    <t>6029006012, 6029006006</t>
  </si>
  <si>
    <t>6029006004, 6029006101, 6029006102, 6029006012</t>
  </si>
  <si>
    <t>6107004500, 6107003401, 6107003402</t>
  </si>
  <si>
    <t>Station ID #: 1269, 1250A</t>
  </si>
  <si>
    <t>6107002901, 6107002903, 6107002904, 6107003002, 6107001602, 6107003100, 6107002402, 6107002403, 6107002010, 6107002401, 6107002302, 6107002303</t>
  </si>
  <si>
    <t>6107002100, 6107003100</t>
  </si>
  <si>
    <t>6107002204, 6107002203, 6107002304, 6107002901, 6107002903, 6107003001, 6107003002, 6107002100, 6107003100, 6107002303, 6107002202</t>
  </si>
  <si>
    <t>6107001305, 6107001102, 6107001101, 6107001006, 6107001200</t>
  </si>
  <si>
    <t>6107002010, 6107002401, 6107002011</t>
  </si>
  <si>
    <t>6107000902, 6107000802</t>
  </si>
  <si>
    <t>6107002010, 6107002011</t>
  </si>
  <si>
    <t>6029004402, 6029004500, 6029004305, 6029004304, 6029004404, 6029004403, 6029004303</t>
  </si>
  <si>
    <t>6029003900, 6029004305, 6029004605</t>
  </si>
  <si>
    <t>6107000701, 6107000102, 6107000702</t>
  </si>
  <si>
    <t>Station ID #: 970</t>
  </si>
  <si>
    <t>6037910501, 6037910706, 6037910601, 6037910712, 6037910713, 6037980004, 6037910709, 6037910606, 6037910404, 6037910602, 6037910707, 6037910504, 6037910607, 6037910717, 6037910608, 6037910718, 6037911100, 6037910405, 6037910715, 6037910716, 6037910505, 6037910502, 6037910605, 6037910714, 6037910720, 6037910721, 6037910719, 6037910218</t>
  </si>
  <si>
    <t>6029004802, 6029004607</t>
  </si>
  <si>
    <t>6079012708, 6083001800</t>
  </si>
  <si>
    <t>6037900902, 6037901300</t>
  </si>
  <si>
    <t>6037901209, 6029003305</t>
  </si>
  <si>
    <t>6079010303, 6079010016</t>
  </si>
  <si>
    <t>6111009700, 6083001800</t>
  </si>
  <si>
    <t>6037910213, 6037910401, 6037910217</t>
  </si>
  <si>
    <t>Station ID #: 1152</t>
  </si>
  <si>
    <t>6107001705, 6107002006, 6107000901, 6107001010, 6107001009, 6107001008, 6107001306, 6107001011, 6107002010, 6107001007, 6107001012, 6107002011, 6107001303, 6107001305, 6107001706, 6107001102, 6107001101, 6107001304, 6107001005, 6107001006, 6107001200, 6107001701, 6107001703, 6107001800, 6107001901, 6107001902, 6107002002, 6107002003, 6107002004, 6107002008, 6107002009</t>
  </si>
  <si>
    <t>6037900701, 6037900505, 6037900506, 6037901300, 6037900509, 6037900510, 6037900501, 6037900504, 6037900508, 6037900704, 6037900608, 6037900609, 6037900611, 6037900607, 6037900301, 6037900610, 6037900602, 6037900606</t>
  </si>
  <si>
    <t>6037900901, 6037901216</t>
  </si>
  <si>
    <t>ALHAMBRA, GLENDALE, PASADENA</t>
  </si>
  <si>
    <t>6037183810, 6037183221, 6037183222, 6037183401, 6037183402, 6037183701, 6037183702, 6037186201, 6037186203, 6037186302, 6037186403, 6037186404, 6037201601, 6037201602, 6037183103, 6037183104, 6037185203, 6037185204, 6037480702, 6037480802, 6037186100, 6037181300, 6037463800, 6037480803, 6037480804, 6037181400, 6037181000, 6037181500, 6037181600, 6037183101, 6037183220, 6037183300, 6037183510, 6037183520, 6037183610, 6037183820, 6037185202, 6037185310, 6037185320, 6037186401, 6037199110, 6037187102, 6037199801, 6037199802, 6037199002, 6037185101, 6037199001, 6037185102, 6037460800, 6037186202, 6037530700, 6037199120, 6037199201, 6037199202, 6037199300, 6037199400, 6037199700, 6037199900, 6037201110, 6037201120, 6037201501, 6037201503, 6037201504, 6037201700, 6037201200, 6037183620, 6037201301, 6037201302, 6037201401, 6037201402</t>
  </si>
  <si>
    <t>Station ID #: 2106, 2305, 2275, 821, 0806N, 951, 786</t>
  </si>
  <si>
    <t>SANTA MONICA, BRANFORD, SATICOY, CANOGA, HOLLYWOOD, JUANITA, GLENDALE, PASADENA</t>
  </si>
  <si>
    <t>6037300100, 6037300501, 6037310701, 6037310100, 6037300200, 6037300400, 6037300701, 6037300902, 6037301400, 6037301501, 6037301502, 6037301601, 6037301701, 6037301602, 6037301702, 6037302002, 6037310703, 6037310900, 6037311000, 6037311100, 6037311200, 6037311300, 6037311400, 6037302202, 6037300702, 6037123602, 6037122410, 6037124500, 6037301203, 6037127910, 6037123205, 6037310800, 6037311700, 6037311802, 6037460401, 6037143902, 6037141700, 6037311500, 6037123420, 6037301000, 6037123203, 6037460501, 6037141600, 6037302103, 6037980021, 6037122420, 6037128220, 6037125502, 6037127103, 6037127603, 6037127711, 6037127803, 6037127806, 6037128101, 6037128601, 6037128602, 6037128802, 6037132101, 6037127102, 6037132102, 6037980001, 6037120300, 6037120400, 6037121010, 6037121020, 6037121210, 6037124000, 6037124102, 6037124201, 6037124300, 6037124400, 6037124600, 6037141102, 6037141201, 6037141202, 6037141304, 6037143603, 6037121900, 6037122000, 6037122120, 6037122200, 6037123020, 6037123103, 6037101110, 6037101220, 6037194102, 6037102105, 6037125501, 6037980008, 6037101400, 6037121102, 6037124104, 6037302505, 6037302506, 6037187101, 6037124902, 6037300301, 6037301205, 6037141101, 6037101122, 6037121801, 6037121802, 6037123901, 6037125402, 6037301801, 6037301802, 6037302004, 6037302401, 6037302503, 6037302504, 6037121101, 6037121221, 6037121222, 6037124103, 6037124105, 6037124203, 6037124903, 6037127604, 6037127606, 6037127712, 6037310201, 6037310202, 6037310501, 6037310601, 6037310602, 6037980024, 6037122122, 6037127805, 6037186301, 6037143402, 6037141305, 6037128703, 6037141306, 6037128704, 6037301901, 6037101221, 6037103402, 6037125102, 6037125404, 6037125101, 6037125403, 6037125321, 6037125322, 6037310705, 6037310704, 6037300602, 6037102103, 6037124700, 6037125200, 6037123104, 6037123204, 6037123206, 6037123301, 6037123303, 6037125310, 6037125600, 6037127210, 6037127220, 6037127300, 6037127400, 6037127520, 6037127920, 6037128210, 6037128303, 6037128400, 6037128500, 6037123304, 6037123510, 6037123520, 6037123601, 6037123700, 6037123800, 6037128910, 6037102104, 6037143901, 6037460700, 6037123010, 6037300800, 6037143602, 6037186100, 6037301206, 6037143700, 6037181300, 6037300901, 6037143500, 6037186401, 6037187102, 6037301100, 6037301204, 6037301300, 6037302102, 6037302104, 6037302201, 6037302301, 6037302302, 6037310300, 6037310400, 6037300503, 6037300601, 6037460601, 6037460800, 6037101300, 6037103101, 6037103102, 6037143606, 6037189703, 6037143801, 6037189704, 6037143802, 6037143605, 6037143302, 6037143101, 6037311601, 6037143401, 6037311602, 6037143102, 6037301902, 6037143301, 6037103300, 6037311801, 6037141303, 6037980009, 6037123902, 6037302003, 6037127605, 6037122121, 6037124204, 6037128801, 6037128302, 6037101222, 6037103201, 6037980039, 6037188100, 6037188300, 6037127104, 6037127804, 6037128102, 6037102107, 6037123410, 6037120010, 6037460502, 6037143200, 6037103401</t>
  </si>
  <si>
    <t>BRANFORD, SATICOY, VALENCIA</t>
  </si>
  <si>
    <t>6037320300, 6037106020, 6037106111, 6037106408, 6037106405, 6037106407, 6037106648, 6037320201, 6037320202, 6037107010, 6037107020, 6037106010, 6037106406, 6037109100, 6037109500, 6037106649, 6037106112, 6037106113, 6037106114, 6037106403, 6037106510, 6037106520, 6037106604, 6037320102, 6037980022, 6037320101</t>
  </si>
  <si>
    <t>BRANFORD, VALENCIA</t>
  </si>
  <si>
    <t>6037980021, 6037104124, 6037104204, 6037104703, 6037104704, 6037320202, 6037103202, 6037104201, 6037104310, 6037104401, 6037104701, 6037104108, 6037106112, 6037104103, 6037104105, 6037930400, 6037320102, 6037104203, 6037104321, 6037104322</t>
  </si>
  <si>
    <t>ALHAMBRA, BELVEDERE, AZUSA, PASADENA</t>
  </si>
  <si>
    <t>6037430502, 6037482301, 6037482303, 6037400603, 6037430801, 6037482304, 6037482401, 6037431501, 6037431502, 6037433304, 6037433305, 6037433306, 6037482503, 6037433402, 6037480011, 6037433307, 6037430003, 6037430301, 6037434004, 6037433804, 6037482522, 6037434100, 6037434003, 6037480012, 6037431200, 6037431800, 6037431300, 6037430802, 6037431100, 6037430724, 6037430902, 6037480101, 6037482404, 6037433803, 6037431900, 6037432101, 6037432102, 6037432201, 6037432202, 6037432300, 6037432401, 6037432402, 6037432601, 6037432602, 6037432700, 6037432801, 6037432802, 6037432902, 6037433200, 6037433302, 6037433403, 6037433602, 6037430901, 6037430200, 6037481201, 6037481300, 6037530007, 6037482521, 6037404600, 6037482403, 6037431400, 6037433903, 6037433505, 6037433103, 6037430723, 6037432901, 6037481403, 6037432502, 6037432001, 6037432002, 6037431701, 6037432501, 6037431600, 6037430004, 6037430005, 6037431004, 6037431003, 6037980036, 6037430501, 6037433506, 6037433901, 6037433601, 6037430101, 6037430102, 6037434001, 6037430302, 6037430400, 6037430600, 6037430701, 6037430721, 6037430803, 6037431002</t>
  </si>
  <si>
    <t>6037482502, 6037480302, 6037460401, 6037461502, 6037461901, 6037461902, 6037462002, 6037462201, 6037462202, 6037462301, 6037482201, 6037482202, 6037482301, 6037482303, 6037462302, 6037463602, 6037482304, 6037482503, 6037480011, 6037481711, 6037482600, 6037482701, 6037480303, 6037482702, 6037183702, 6037481605, 6037481606, 6037480304, 6037183103, 6037183104, 6037482002, 6037482522, 6037480202, 6037480102, 6037480012, 6037480002, 6037480101, 6037461300, 6037460002, 6037482801, 6037432201, 6037432202, 6037460900, 6037461000, 6037461100, 6037461400, 6037461600, 6037461700, 6037462100, 6037462400, 6037461501, 6037462700, 6037462800, 6037463000, 6037480702, 6037480703, 6037480704, 6037480802, 6037480901, 6037460700, 6037481401, 6037463900, 6037464000, 6037464200, 6037480803, 6037480804, 6037480903, 6037481002, 6037481101, 6037481102, 6037481103, 6037481201, 6037481604, 6037481712, 6037481713, 6037481714, 6037481800, 6037481901, 6037481500, 6037481902, 6037482001, 6037482101, 6037482102, 6037480400, 6037480500, 6037480902, 6037482521, 6037481603, 6037481001, 6037461200, 6037430723, 6037481403, 6037481404, 6037481203, 6037480602, 6037464102, 6037464101, 6037480601, 6037460800, 6037463103, 6037462600, 6037462001, 6037463601, 6037930400, 6037460001, 6037480201, 6037462900, 6037462500, 6037201110, 6037201120, 6037463200, 6037463300, 6037463400, 6037463500, 6037463700, 6037430600, 6037460200, 6037460301, 6037460302, 6037460101</t>
  </si>
  <si>
    <t>6037207103, 6037980010, 6037207101, 6037207102, 6037206010, 6037206020, 6037207400</t>
  </si>
  <si>
    <t>6037920314, 6037920043, 6037920313, 6037920322, 6037920339, 6037920328, 6037920329, 6037920330, 6037920334, 6037920042, 6037920343, 6037920342, 6037920341, 6037920340, 6037920114, 6037920331, 6037920332, 6037920338, 6037930400, 6037920326, 6037920031, 6037920115, 6037920013, 6037920312</t>
  </si>
  <si>
    <t>6037920200, 6037920102</t>
  </si>
  <si>
    <t>6037920104, 6037920102</t>
  </si>
  <si>
    <t>Station ID #: 878</t>
  </si>
  <si>
    <t>6037910809, 6037920020, 6037920045, 6037910810, 6037920043, 6037920044, 6037920040, 6037920030, 6037920028, 6037920035, 6037920038, 6037920041, 6037920109, 6037920039, 6037920110, 6037920111, 6037920112, 6037920034, 6037910808, 6037920339, 6037920042, 6037920047, 6037920046, 6037920049, 6037920048, 6037920114, 6037920120, 6037910807, 6037930400, 6037920106, 6037920015, 6037920016, 6037920017, 6037920018, 6037920029, 6037920031, 6037920102, 6037920115, 6037920013, 6037920121</t>
  </si>
  <si>
    <t>6037920104, 6037920118, 6037920339, 6037920116, 6037920119, 6037920106</t>
  </si>
  <si>
    <t>6037910810, 6037910814</t>
  </si>
  <si>
    <t>ALHAMBRA</t>
  </si>
  <si>
    <t>INDUSTRY</t>
  </si>
  <si>
    <t>6037402404, 6037402403, 6037409000</t>
  </si>
  <si>
    <t>Station ID #: 432</t>
  </si>
  <si>
    <t>INDUSTRY, WHITTIER, AZUSA, CHINO</t>
  </si>
  <si>
    <t>6037407101, 6037400501, 6037401303, 6037401304, 6037400603, 6037403802, 6037408623, 6037500202, 6037406702, 6037404201, 6037404504, 6037405301, 6037405302, 6037408006, 6037408136, 6037408138, 6037408139, 6037408724, 6037408302, 6037408004, 6037407601, 6037408003, 6037407902, 6037407501, 6037406602, 6037403500, 6037406101, 6037406000, 6037403326, 6037405701, 6037403305, 6037405800, 6037404501, 6037403327, 6037407802, 6037407202, 6037407901, 6037407201, 6037407502, 6037403409, 6037405001, 6037405002, 6037405102, 6037405201, 6037405202, 6037405203, 6037408401, 6037400402, 6037403319, 6037405400, 6037405500, 6037408624, 6037408625, 6037405600, 6037408303, 6037408627, 6037405900, 6037408705, 6037407801, 6037408005, 6037408140, 6037406701, 6037408504, 6037401001, 6037401002, 6037401101, 6037401102, 6037403323, 6037403324, 6037406500, 6037406601, 6037408505, 6037408631, 6037404902, 6037409100, 6037408707, 6037406103, 6037405101, 6037404600, 6037405702, 6037404503, 6037406801, 6037406903, 6037406413, 6037404806, 6037406201, 6037403601, 6037404804, 6037404805, 6037404203, 6037403801, 6037408134, 6037408212, 6037403901, 6037403902, 6037404000, 6037404100, 6037404301, 6037404302, 6037404401, 6037404702, 6037404703, 6037404903, 6037400605, 6037400801, 6037400404, 6037408503, 6037403328, 6037980035, 6037408213, 6037408703, 6037408722, 6037408725, 6037404402, 6037500300, 6037403325, 6037406300, 6037501600, 6037408629, 6037408628, 6037408626, 6037408141, 6037408135, 6037408137, 6037409000, 6037408301, 6037407602, 6037403403, 6037407302, 6037408402, 6037404701, 6037404901, 6037401201, 6037401202, 6037401203, 6037401311, 6037401312, 6037403401, 6037403402, 6037403404, 6037403407, 6037400602, 6037407001, 6037407002, 6037407102, 6037407301, 6037403408, 6037407400, 6037407701, 6037407702, 6037408133, 6037403702, 6037403703, 6037403721, 6037403722, 6071000821, 6037403317, 6037402200, 6037400403, 6071000817, 6037400207, 6037402001, 6071000201, 6037400209, 6037403316, 6037403318, 6037403320, 6037403321, 6037401706, 6037401707, 6037408900, 6037401802, 6037401705, 6037401801, 6037403000, 6037400208, 6037400205, 6037401500, 6037401601, 6037401602, 6037401901, 6037401902, 6037400206, 6037402101, 6037402102, 6037400304</t>
  </si>
  <si>
    <t>INDUSTRY, AZUSA, CHINO</t>
  </si>
  <si>
    <t>6037403317, 6037402200, 6037402406, 6071000403, 6037402001, 6037402303, 6037402404, 6037402403, 6037402504, 6037402405, 6037402705, 6037402706, 6037402803, 6037402804, 6037402903, 6037402601, 6037402602, 6037402801, 6037402902, 6037403000, 6071000401, 6037402503, 6037409000, 6037402304, 6037408800, 6037401500, 6037402101, 6037402102, 6037402301, 6037402501, 6037402702, 6037402703, 6037402904</t>
  </si>
  <si>
    <t>AZUSA</t>
  </si>
  <si>
    <t>6037402001, 6037402002, 6037401802, 6037401801, 6037401901, 6037401902</t>
  </si>
  <si>
    <t>6037920314, 6037920030, 6037920031, 6037920013</t>
  </si>
  <si>
    <t>6037920104, 6037920200, 6037920116, 6037920102</t>
  </si>
  <si>
    <t xml:space="preserve">100 </t>
  </si>
  <si>
    <t>N/A</t>
  </si>
  <si>
    <t>SDGE Avoided Gas Project Costs</t>
  </si>
  <si>
    <t>North Coast</t>
  </si>
  <si>
    <t>SDG&amp;E</t>
  </si>
  <si>
    <t>SDG&amp;E Gas Distribution Costs by Operating District</t>
  </si>
  <si>
    <t>Based on data provided by San Diego Gas and Electric Company in response to September 24, 2025 ALJ's Ruling Directing Gas Utilities to Provide Gas Distribution Cost Data</t>
  </si>
  <si>
    <t>Row in Utility Data</t>
  </si>
  <si>
    <t>Eastern</t>
  </si>
  <si>
    <t>Northeast</t>
  </si>
  <si>
    <t>Metro</t>
  </si>
  <si>
    <t>Beach Cities</t>
  </si>
  <si>
    <t xml:space="preserve">Totals or Averages Across All Operating Districts </t>
  </si>
  <si>
    <t xml:space="preserve">Average cost of replacing gas distribution services only.  Calculated by dividing B5 by B3. </t>
  </si>
  <si>
    <t>Average cost of service-only replacement activities, per mile of main. Calculated by dividing B5 by B4.</t>
  </si>
  <si>
    <t>SDG&amp;E did not provide regulator station replacement costs. SDG&amp;E will need to provide location-specific cost estimates for any avoided regulator station projects.</t>
  </si>
  <si>
    <t>SDG&amp;E did not provide regulator station replacement project time to completion. SDG&amp;E will need to provide location-specific project time to completion for any avoided regulator station projects.</t>
  </si>
  <si>
    <t>Average number of services replaced by service-only replacement programs.[2]</t>
  </si>
  <si>
    <r>
      <t xml:space="preserve">Average number of services in a single work order.  Calculated by dividing B12 by B11. </t>
    </r>
    <r>
      <rPr>
        <sz val="8"/>
        <rFont val="Book Antiqua"/>
        <family val="1"/>
      </rPr>
      <t> </t>
    </r>
  </si>
  <si>
    <r>
      <t>Total costs of main and service replacement program work orders. Calculated by summing B17, B18, B19 and B20.</t>
    </r>
    <r>
      <rPr>
        <i/>
        <sz val="12"/>
        <rFont val="Book Antiqua"/>
        <family val="1"/>
      </rPr>
      <t xml:space="preserve"> </t>
    </r>
  </si>
  <si>
    <t>North East</t>
  </si>
  <si>
    <t>SDG&amp;E did not provide regulator station replacement planning periods. SDG&amp;E will need to provide location-specific planning periods for any avoided regulator station projects.</t>
  </si>
  <si>
    <t>Main and service replacement programs: Budget Codes: 508- Gas Distribution Leak Repair Unplanned, 514- RAMP Vintage Steel Replacement (1965-present), 19564- RAMP Vintage Steel Replacement (1934 to 1964), 19565- RAMP Vintage Steel Replacement (1933 and older), 546 DIMP.</t>
  </si>
  <si>
    <t>Service-only replacement programs: Budget Codes: 551 with Notification Description of CP 10 and 19563 for DCRR jobs.</t>
  </si>
  <si>
    <t>SDG&amp;E Pressure District Data</t>
  </si>
  <si>
    <t>NORTHCOAST, NORTHEAST, BEACHCITIES</t>
  </si>
  <si>
    <t>6073017021, 6073008358, 6073017053, 6073020027, 6073018609, 6073020019, 6073020214, 6073017107, 6073017037, 6073017045, 6073019405, 6073019806, 6073019302, 6073019904, 6073019301, 6073019207, 6073017808, 6073008348, 6073020403, 6073019403, 6073019903, 6073008347, 6073018300, 6073018511, 6073017046, 6073018603, 6073017604, 6073008356, 6073019303, 6073008355, 6073019905, 6073019809, 6073017056, 6073020710, , 6073008324, 6073018507, 6073021500, 6073008350, 6073017811, 6073019602, 6073020306, 6073020404, 6073019503, 6073017044, 6073018513, 6073020401, 6073020602, 6073019406, 6073017200, 6073020500, 6073019205, 6073017051, 6073008327, 6073008354, 6073017018, 6073019808, 6073008360, 6073018611, 6073008335, 6073018514, 6073017404, 6073018610, 6073019804, 6073020305, 6073020017, 6073008346, 6073008337, 6073017110, 6073020025, 6073018400, 6073018510, 6073008351, 6073017047, 6073019902, 6073017022, 6073017015, 6073017040, 6073019502, 6073017403, 6073020706, 6073017049, 6073017030, 6073019501, 6073017304, 6073017033, 6073019803, 6073020707, 6073017010, 6073017041, 6073018000, 6073017019, 6073008328, 6073020015, 6073017601, 6073019805, 6073020029, 6073017603, 6073020304, 6073009504, 6073020103, 6073018100, 6073018200, 6073017109, 6073017050, 6073017048, 6073017014, 6073017809, 6073020020, 6073017502, 6073017034, 6073017900, 6073017108, 6073019404, 6073020211, 6073008349, 6073019702, 6073020013, 6073020106, 6073020705, 6073018512, 6073017031, 6073008333, 6073020308, 6073018516, 6073017036, 6073020016, 6073020202, 6073020109, 6073020708, 6073019203, 6073019601, 6073017052, 6073020014, 6073020021, 6073020028, 6073017039, 6073018608, 6073017009, 6073017020, 6073018517, 6073019701, 6073018519, 6073017801, 6073018504, 6073017055, 6073008366, 6073008330, 6073018614, 6073017042, 6073017401, 6073020105, 6073008352, 6073017032, 6073020210, 6073017054, 6073020307, 6073018515, 6073020018, 6073020023, 6073018518, 6073020108, 6073020206, 6073020026, 6073019206, 6073017303, 6073020024, 6073017810, 6073020209, 6073008331, 6073020207, 6073020022, 6073017501, 6073008329, 6073018612, 6073020405, 6073008336, 6073020208, 6073020709, 6073018613, 6073020601, 6073017701, 6073019208, 6073008353, 6073018509, 6073017035, 6073020309, 6073017006, 6073017029, 6073017813, 6073017702, 6073008365, 6073017043, 6073017104, 6073020107, 6073018601, 6073022100, 6073008357, 6073017306, 6073020213, 6073008339, 6073008359, 6073017106, 6073005300, 6073020902, 6073009400</t>
  </si>
  <si>
    <t>BEACHCITIES, EASTERN, METRO</t>
  </si>
  <si>
    <t>6073016806, 6073014200, 6073003304, 6073003401, 6073013411, 6073013312, 6073002302, 6073016809, 6073006801, 6073008510, 6073009107, 6073013415, 6073005600, 6073007301, 6073010013, 6073003207, 6073002202, 6073015601, 6073001300, 6073016605, 6073009706, 6073009704, 6073000700, 6073016614, 6073004501, 6073016302, 6073012304, 6073014700, 6073013206, 6073013505, 6073012200, 6073014804, 6073010103, 6073003115, 6073008901, 6073003212, 6073013414, 6073005900, 6073009000, 6073001500, 6073016301, 6073013309, 6073013104, 6073013906, 6073004900, 6073002502, 6073013601, 6073013801, 6073013302, 6073009805, 6073016804, 6073003502, 6073010009, 6073010401, 6073002702, 6073015802, 6073012700, 6073007100, 6073009304, 6073008511, 6073013417, 6073009103, 6073004000, 6073013421, 6073010107, 6073010010, 6073015701, 6073003301, 6073014102, 6073007502, 6073010106, 6073013908, 6073021900, 6073015403, 6073009604, 6073016612, 6073007501, 6073015405, 6073014902, 6073008501, 6073003108, 6073012303, 6073016807, 6073003303, 6073008502, 6073004400, 6073013604, 6073009804, 6073003201, 6073013401, 6073009705, 6073013204, 6073010003, 6073005700, 6073008512, 6073003403, 6073016616, 6073002905, 6073002201, 6073016201, 6073001200, 6073014002, 6073012102, 6073002804, 6073013314, 6073003901, 6073003103, 6073002703, 6073015703, 6073002401, 6073001000, 6073009801, 6073006900, 6073008506, 6073002710, 6073013410, 6073013313, 6073008504, 6073013205, 6073016607, 6073007400, 6073000400, 6073009101, 6073014806, 6073016617, 6073003305, 6073016606, 6073000100, 6073016402, 6073016608, 6073003902, 6073009703, 6073015704, 6073010014, 6073013907, 6073009202, 6073002100, 6073001600, 6073002707, 6073003404, 6073014803, 6073004200, 6073016609, 6073008509, 6073010104, 6073011802, 6073009201, 6073008600, 6073015404, 6073013412, 6073013306, 6073016701, 6073010402, 6073002002, 6073002904, 6073022000, 6073016702, 6073021400, 6073003111, 6073015406, , 6073000202, 6073003204, 6073010300, 6073016811, 6073009602, 6073003101, 6073001100, 6073009305, 6073006802, 6073002501, 6073016901, 6073013909, 6073013311, 6073012900, 6073003001, 6073012402, 6073013102, 6073008701, 6073000201, 6073004100, 6073009802, 6073013606, 6073010109, 6073010005, 6073011602, 6073003501, 6073015301, 6073015100, 6073003105, 6073002708, 6073002803, 6073002402, 6073010200, 6073011902, 6073013701, 6073015200, 6073012003, 6073003603, 6073003107, 6073015302, 6073016613, 6073000900, 6073003602, 6073002902, 6073006100, 6073012101, 6073013702, 6073008702, 6073014300, 6073001800, 6073009104, 6073003112, 6073010004, 6073008505, 6073016502, 6073003214, 6073002705, 6073002601, 6073002711, 6073014805, 6073012502, 6073013303, 6073015902, 6073010502, 6073003003, 6073001700, 6073009102, 6073006000, 6073006500, 6073014601, 6073014901, 6073008513, 6073001400, 6073012401, 6073009306, 6073013903, 6073003004, 6073003213, 6073016100, 6073014500, 6073013416, 6073009301, 6073010110, 6073000500, 6073013503, 6073013605, 6073004300, 6073015502, 6073010015, 6073002801, 6073013301, 6073000300, 6073010112, 6073005400, 6073011601, 6073012800, 6073014400, 6073002001, 6073013418, 6073008503, 6073013409, 6073002903, 6073013000, 6073004600, 6073003113, 6073007200, 6073002602, 6073016810, 6073004700, 6073015801, 6073014101, 6073016202, 6073015000, 6073014001, 6073003202, 6073011700, 6073012600, 6073003209, 6073007002, 6073012501, 6073016610, 6073005000, 6073003114, 6073011801, 6073015901, 6073000800, 6073000600, 6073010011, 6073010001, 6073002712, 6073013103, 6073003208, 6073013307, 6073013310, 6073004800, 6073012002, 6073008800, 6073010012, 6073009106, 6073014602, 6073007302, 6073001900, 6073002709, 6073012302, 6073015602, 6073003601, 6073013506, 6073013905, 6073013504, 6073010501, 6073008507, 6073013419, 6073003211, 6073013802, 6073002301, 6073010111, 6073009603, 6073016401, 6073005100, 6073016000, 6073013203, 6073015501, 6073013308, 6073003109, 6073016503, 6073009507, 6073006600, 6073009509, 6073013420, 6073016504, 6073016615, 6073021303, 6073009504, 6073005200, 6073005300, 6073005800, 6073016902, 6073006200, 6073009902, 6073008312, 6073016802, 6073009901, 6073005500, 6073007600, 6073008902, 6073003800, 6073009400, 6073010601</t>
  </si>
  <si>
    <t>NORTHEAST, NORTHCOAST</t>
  </si>
  <si>
    <t>6073018905, 6073018801, 6073018904, 6073018906, 6073018802, 6073018903, , 6073019001, 6073018803, 6073018611, 6073019002</t>
  </si>
  <si>
    <t>NORTHEAST</t>
  </si>
  <si>
    <t>6073019101</t>
  </si>
  <si>
    <t>METRO</t>
  </si>
  <si>
    <t>6073011000, 6073021800, 6073011100, 6073010601, 6073010800, 6073010900, 6073021600</t>
  </si>
  <si>
    <t>BEACHCITIES</t>
  </si>
  <si>
    <t>6073008364, 6073008305, 6073008340, 6073008363, , 6073008343, 6073008341, 6073008339</t>
  </si>
  <si>
    <t>6073008902, 6073009304, 6073001100, , 6073000100, 6073001900, 6073000201, 6073001000, 6073000400</t>
  </si>
  <si>
    <t>6073008362, 6073008361, 6073008313, , 6073008364</t>
  </si>
  <si>
    <t xml:space="preserve">6073009502, 6073009507, 6073009505, 6073009506, 6073009509, </t>
  </si>
  <si>
    <t>NORTHCOAST</t>
  </si>
  <si>
    <t>6073017029, 6073017106</t>
  </si>
  <si>
    <t>6073019002, , 6073019101</t>
  </si>
  <si>
    <t>EASTERN</t>
  </si>
  <si>
    <t/>
  </si>
  <si>
    <t>6073018801</t>
  </si>
  <si>
    <t>6073005400, 6073009902, 6073005100</t>
  </si>
  <si>
    <t>6073017604, 6073017502</t>
  </si>
  <si>
    <t>6073018801, 6073018802</t>
  </si>
  <si>
    <t>6073018802</t>
  </si>
  <si>
    <t>6073017403, 6073017106</t>
  </si>
  <si>
    <t>6073008333, , 6073021500</t>
  </si>
  <si>
    <t>6073010015</t>
  </si>
  <si>
    <t>6073021204, 6073016802, 6073015501, 6073021205, 6073015502, 6073016811, 6073016809</t>
  </si>
  <si>
    <t>6073019105, 6073019103</t>
  </si>
  <si>
    <t>6073019001</t>
  </si>
  <si>
    <t>6073020709, 6073020706</t>
  </si>
  <si>
    <t>6073010103</t>
  </si>
  <si>
    <t>6073019101, , 6073019002</t>
  </si>
  <si>
    <t xml:space="preserve">6073018612, </t>
  </si>
  <si>
    <t>, 6073008339, 6073008312, 6073008305</t>
  </si>
  <si>
    <t xml:space="preserve">6073008307, 6073008344, 6073008306, 6073008345, </t>
  </si>
  <si>
    <t xml:space="preserve">6073017029, 6073017306, 6073017106, 6073017305, </t>
  </si>
  <si>
    <t>6073007600, , 6073001000</t>
  </si>
  <si>
    <t>6073021600</t>
  </si>
  <si>
    <t>6073015000</t>
  </si>
  <si>
    <t>6073008200, 6073007908, 6073008301, 6073007600, 6073007910, 6073008313, 6073007907, 6073007903, 6073007701, 6073008002, 6073007702, 6073008310, 6073008003, 6073008102, 6073008006, 6073008303, 6073007905, 6073008312, 6073007800, 6073008311, 6073008101, , 6073008503</t>
  </si>
  <si>
    <t>6073008312, 6059042108</t>
  </si>
  <si>
    <t>6073018611</t>
  </si>
  <si>
    <t xml:space="preserve">6073018700, </t>
  </si>
  <si>
    <t>6073019101, 6073019103</t>
  </si>
  <si>
    <t>6073019002</t>
  </si>
  <si>
    <t>6073021205, 6073021204, 6073021206, , 6073021202</t>
  </si>
  <si>
    <t>6073018612</t>
  </si>
  <si>
    <t>6073019105</t>
  </si>
  <si>
    <t xml:space="preserve">NORTHCOAST </t>
  </si>
  <si>
    <t>6073013506</t>
  </si>
  <si>
    <t xml:space="preserve">6073013506, 6073013505, </t>
  </si>
  <si>
    <t>6073018802, 6073018611</t>
  </si>
  <si>
    <t>6073019101, , 6073019002, 6073018904, 6073019001, 6073018803</t>
  </si>
  <si>
    <t>6073018601, 6073018700, 6073018300, 6073018603, , 6073018613, 6073018612</t>
  </si>
  <si>
    <t xml:space="preserve">6073017813, </t>
  </si>
  <si>
    <t>6073019002, 6073019001</t>
  </si>
  <si>
    <t>6073021303,</t>
  </si>
  <si>
    <t>6073018700, 6073018507, , 6073018603</t>
  </si>
  <si>
    <t xml:space="preserve">6073019106, 6073020103, 6073019105, 6073019103, </t>
  </si>
  <si>
    <t>6073017305, 6073017306, 6073017106</t>
  </si>
  <si>
    <t>6073009504</t>
  </si>
  <si>
    <t xml:space="preserve">6073008902, 6073008901, </t>
  </si>
  <si>
    <t>6073010014, 6073010015, , 6073010103, 6073013314, 6073007800</t>
  </si>
  <si>
    <t>NORTH COAST</t>
  </si>
  <si>
    <t>6073017306, 6073008327</t>
  </si>
  <si>
    <t xml:space="preserve">6073002001, </t>
  </si>
  <si>
    <t>6073019002, 6073019101</t>
  </si>
  <si>
    <t>Southwest Gas Avoided Gas Project Costs</t>
  </si>
  <si>
    <t>Distribution mains and services</t>
  </si>
  <si>
    <t>Victorville District 012</t>
  </si>
  <si>
    <t>Southwest Gas</t>
  </si>
  <si>
    <t>NA for Southwest Gas</t>
  </si>
  <si>
    <t>Southwest Gas Distribution Costs by Operating District</t>
  </si>
  <si>
    <t>Based on Data Provided by Southwest Gas Company in response to September 24, 2025 ALJ's Ruling Directing Gas Utilities to Provide Gas Distribution Cost Data</t>
  </si>
  <si>
    <t>see https://www.cpuc.ca.gov/industries-and-topics/natural-gas/SB-1221-implementation for utility-provided data and CPUC data templates</t>
  </si>
  <si>
    <t>Barstow District 011</t>
  </si>
  <si>
    <t>Big Bear District 013</t>
  </si>
  <si>
    <t>North Tahoe District 014</t>
  </si>
  <si>
    <t>Truckee District 015</t>
  </si>
  <si>
    <t>South Lake Tahoe District 016</t>
  </si>
  <si>
    <t>Needles District 019</t>
  </si>
  <si>
    <t>Southwest Gas' Notes</t>
  </si>
  <si>
    <t>Cost per pre-work service replaced, for services only</t>
  </si>
  <si>
    <t xml:space="preserve">Average cost of replacing gas distribution pre-work services only.  Calculated by dividing B5 by B3. </t>
  </si>
  <si>
    <t>$0 values are due to no work being done over the 2021-2024 years</t>
  </si>
  <si>
    <t>Cost per pre-work service mile replaced, for services only</t>
  </si>
  <si>
    <t>Average cost of pre-work service-only replacement activities, per mile of service. Calculated by dividing B5 by B4.</t>
  </si>
  <si>
    <t>NA since Southwest Gas service replacement program is not representative of service replacement more broadly.</t>
  </si>
  <si>
    <t>Southwest Gas did not provide Regulator Station Replacement Costs as Southwest Gas does not have a Regulator Station replacement program in its General Rate Case.</t>
  </si>
  <si>
    <t>Average cost of gas distribution pipeline maintenance, per service, not including replacement costs. Also shown in later table, cell G1.</t>
  </si>
  <si>
    <t>B24</t>
  </si>
  <si>
    <t>Pre-work Services replaced per year, when services only</t>
  </si>
  <si>
    <t>Average number of pre-work services replaced by service-only replacement programs.</t>
  </si>
  <si>
    <t>Note:  Number of services post work is greater than number of services pre-work.  This program replaces the single Master Meter to the school by running multiple services to each building.</t>
  </si>
  <si>
    <t>redacted by Southwest Gas</t>
  </si>
  <si>
    <t>Southwest Gas does not track broke ground date.</t>
  </si>
  <si>
    <t>B23</t>
  </si>
  <si>
    <t>Some replacement programs convert one service to multiple services.  "Pre-work" identifies that for the purposes of this spreadsheet, services were counted before replacement, not after replacement.</t>
  </si>
  <si>
    <t>Southwest Gas redacted some cost information, stating in its motion to file under seal, in part, "Southwest Gas currently relies on a single Master Pipeline Contractor (MPC) to perform all its distribution replacement work in its Southern California service territory. Disclosure of detailed replacement cost data would reveal proprietary pricing structures, labor rates, and cost assumptions unique to this contractor relationship."</t>
  </si>
  <si>
    <t>Drop-Down Menus</t>
  </si>
  <si>
    <t>Utilities</t>
  </si>
  <si>
    <t>Operating Districts</t>
  </si>
  <si>
    <t>Distribution mains only</t>
  </si>
  <si>
    <t>Distribution services only</t>
  </si>
  <si>
    <t>Distribution regulator station(s) only</t>
  </si>
  <si>
    <t>Distribution services and regulator stations</t>
  </si>
  <si>
    <t>Distribution mains and regulator stations</t>
  </si>
  <si>
    <r>
      <t>1.</t>
    </r>
    <r>
      <rPr>
        <i/>
        <sz val="13"/>
        <color theme="1"/>
        <rFont val="Times New Roman"/>
        <family val="1"/>
      </rPr>
      <t xml:space="preserve">    </t>
    </r>
    <r>
      <rPr>
        <i/>
        <sz val="13"/>
        <color theme="1"/>
        <rFont val="Book Antiqua"/>
        <family val="1"/>
      </rPr>
      <t>Definitions</t>
    </r>
  </si>
  <si>
    <t>For the data required in this template, use the following definitions unless otherwise stated:</t>
  </si>
  <si>
    <t>a.    Data time period: Annual for calendar years 2021-2024, averaged across these four years.</t>
  </si>
  <si>
    <t xml:space="preserve">b.    Main and service replacement programs: </t>
  </si>
  <si>
    <t>                                              i.     PG&amp;E: Plastic Pipeline Replacement Program (MAT Code 14D) (which covers aldyl-A); Gas Pipeline Replacement Program (14A) (which covers pre-1941 steel); Reliability Main Replacement Program (50A)</t>
  </si>
  <si>
    <t>                                             ii.     SoCalGas/SDG&amp;E: Vintage Integrity Plastic Plan (within Budget Code 277); Bare Steel Replacement Plan (within 277) (which covers pre-1972 steel without cathodic protection); Main Replacement Programs (252, 253, 255, 267, 278[1])</t>
  </si>
  <si>
    <t>                                           iii.     Southwest Gas: Targeted Pipe Replacement Program (which covers Driscopipe 7000 plastic[2]) (within budget code 9636); Vintage Steel Program (which covers pre-1961 steel) (within 9636 and 9605)</t>
  </si>
  <si>
    <t>c.     Service-only replacement programs:</t>
  </si>
  <si>
    <t>                                              i.     PG&amp;E: Reliability Service Replacement Program (50B)</t>
  </si>
  <si>
    <t>                                             ii.     SoCalGas/SDG&amp;E: Service Replacement Programs (256, 257, 258, 260)</t>
  </si>
  <si>
    <t>                                           iii.     Southwest Gas: Customer-Owned Yard Line Program (school and non-school locations)</t>
  </si>
  <si>
    <t>                                           iv.     Regulator station replacement programs: PG&amp;E: Regulator Station Rebuilds (50C)</t>
  </si>
  <si>
    <t>                                             v.     SoCalGas/SDG&amp;E: rebuilds/replacements within Regulator Stations Program (within budget code 265; exclude non-replacement activities not addressed here)</t>
  </si>
  <si>
    <t xml:space="preserve">d.    Operating Districts:[3] </t>
  </si>
  <si>
    <t>                                              i.         PG&amp;E: provide name and number of 18 divisions.[4]</t>
  </si>
  <si>
    <t>                                              ii.         SoCalGas: provide name and number of about 50 gas districts.[5]</t>
  </si>
  <si>
    <t>                                              iii.     SDG&amp;E: provide name and number of 5 districts.[6]</t>
  </si>
  <si>
    <t>                                              iv.     Southwest Gas: provide name and number of 7 districts.[7]</t>
  </si>
  <si>
    <t>e.     Work order: Common identifier used by the gas utility to track gas infrastructure work at a given location. For example, the replacement of five adjacent services and the mains serving them typically would be tracked as one work order. The term “project” is also used in this document to refer to a work order.</t>
  </si>
  <si>
    <t>f.      Costs: Provide the costs for all work orders associated with the program, as recorded for the applicable years. That is, state the amount totaled across the program’s work orders. Include costs under the year they were incurred.  Include all the costs described in the cost category, regardless of what budget code they are recorded under.</t>
  </si>
  <si>
    <t>g.    Pressure District: Set of customer meters, services and mains that together depends on one or more gas distribution regulator stations, and not on other gas distribution regulator stations.[8]  Note that operating districts and pressure districts are not the same.</t>
  </si>
  <si>
    <t xml:space="preserve">                                              i.     SoCalGas: about 750 pressure systems.[9] </t>
  </si>
  <si>
    <t>                                              ii.     PG&amp;E: about 1200 hydraulically independent systems.[10]</t>
  </si>
  <si>
    <t>                                              iii.     Southwest Gas: Fewer systems due to smaller footprint in California.</t>
  </si>
  <si>
    <t>h.    Pressure Category: Describes the pressure in a pressure district or the outgoing pressure from a regulator station that serves a pressure district.[11]</t>
  </si>
  <si>
    <t>                                              i.     Medium-pressure: pressure of 1 through 60 psig, and the regulator station is not “HPR-type”</t>
  </si>
  <si>
    <t>                                              ii.     Low-pressure: pressure less than 1 psig</t>
  </si>
  <si>
    <t xml:space="preserve">[1] Workpaper includes these codes within work group 252. Southern California Gas Company, submitted in SoCalGas General Rate Case A.22-05-015 for years 2024-2027, Work Unit/Activity Level Estimates, SCG-04-CWP-R_Mario_Aguirre-Gas_Distribution_49456.pdf, pp. 45 &amp;ff. </t>
  </si>
  <si>
    <t>[2] Driscopipe 7000 was installed in 1974-1980. See Prepared Direct Testimony of Kevin Lang on behalf of Southwest Gas Corporation, submitted in Southwest Gas General Rate Case A.22-05-015, August 2019, https://docs.cpuc.ca.gov/PublishedDocs/SupDoc/A1908015/2695/338276400.pdf, p. 5.</t>
  </si>
  <si>
    <t>[3] Consistent definitions were used for Operating District in Gas System Census Tract Data, filed by gas utilities in response to Administrative Law Judge’s Ruling Seeking Data from Gas Utilities in R.24-09-012, January 13, 14, and 17, 2024, posted on the CPUC’s R.24-09-012 webpage, https://www.cpuc.ca.gov/industries-and-topics/natural-gas/long-term-gas-planning-rulemaking. See definitions in Administrative Law Judge’s Ruling Seeking Revised Data from Gas Utilities in R.20-01-007, September 22, 2022, https://www.cpuc.ca.gov/-/media/cpuc-website/divisions/energy-division/documents/natural-gas/long-term-gas-planning-oir/rulings/revisedgassystemdataruling09212022.pdf, also available on the CPUC’s R.20-01-007 webpage, https://www.cpuc.ca.gov/industries-and-topics/natural-gas/long-term-gas-planning-rulemaking-closed.</t>
  </si>
  <si>
    <t xml:space="preserve">[4] PG&amp;E’s 18 Divisions have been reported as: Diablo, East Bay, Mission, Peninsula, De Anza, San Jose, San Francisco, Central Coast, Fresno, Kern, Stockton, Yosemite, North Bay, Sonoma, Humboldt, Northern Valley, Sacramento, and Sierra. For 14A and 14D distribution pipeline replacement contracts, these divisions are used as bid areas, while for some other contract types they may be combined into 8 larger bid areas. </t>
  </si>
  <si>
    <t>[5] SoCalGas’ 50 districts have been reported as: Orange Coast – Azusa, Anaheim, Alhambra, Aliso Viejo, Downey, Garden Grove, Industry, La Jolla, Pasadena, Santa Ana, Whittier (group 1); Inland – Beaumont, Corona, Chino, Fontana, Murrieta, Ramona, Redlands, Rim Forest, Riverside, San Bernardino (group 2); Inland Desert – Blythe, El Centro, Palm Desert, Yucca Valley (group 3); Lower Los Angeles – 182nd, Belvedere, Crenshaw, Compton, Hollywood, Huntington Park, Juanita, Santa Monica, San Pedro (group 4); Upper Los Angeles/SFV – Branford, Canoga Park, Chatsworth, Glendale, Lancaster, Mojave, Simi Valley, Saticoy, Valencia (group 5); Central Coast - Goleta, Ventura/Oxnard, Santa Barbara, Santa Maria, San Luis Obispo, Templeton (group 6); and San Juaquin Valley – Bakersfield, and Visalia (group 7). The groupings are used for some contract cost purposes.</t>
  </si>
  <si>
    <t>[6] SDG&amp;E’s five districts are Beach Cities, Eastern, Metro, North Coast, and Northeast.</t>
  </si>
  <si>
    <t>[7] Southwest Gas’ seven districts are: District 11-Barstow; District 12-Victorville; District 13-Big Bear;  District 14-North Lake Tahoe; District 15-Truckee; District 16-South Lake Tahoe; District 19-Needles.</t>
  </si>
  <si>
    <t xml:space="preserve">[8] Pressure districts are also discussed in Recommendations for SB 1221 California Natural Gas System Mapping, CPUC Energy Division Staff Proposal, February 20, 2025, https://docs.cpuc.ca.gov/PublishedDocs/Efile/G000/M556/K897/556897432.PDF, p. 15.  For additional background on pressure zones, see DeWitte, Tom and Coolidge, Tom, Understanding Pressure Zones, April 2024, https://community.esri.com/t5/gas-and-pipeline-blog/understanding-pressure-zones/ba-p/1416830. </t>
  </si>
  <si>
    <t xml:space="preserve">[9] SoCalGas provided pressure district data including meters served and overlapping census tracts per ruling in proceeding R.20-01-007, now available as “demand nodes csv” and “May 20 demand nodes csv” on the “Long Term Gas Planning Rulemaking-Closed” webpage,  https://www.cpuc.ca.gov/industries-and-topics/natural-gas/long-term-gas-planning-rulemaking-closed. </t>
  </si>
  <si>
    <t xml:space="preserve">[10] Recommendations for SB 1221 California Natural Gas System Mapping, p. 15. See also Gas System Census Tract Data Notes, filed by PG&amp;E in response to Administrative Law Judge’s Ruling Seeking Data from Gas Utilities in R.24-09-012, January 13, 2024, https://www.cpuc.ca.gov/-/media/cpuc-website/divisions/energy-division/documents/natural-gas/long-term-gas-planning-oir/pge/gassystemcensustractdatanotes_pgne.pdf, p. B-18, also posted on the CPUC’s R.24-09-012 webpage, https://www.cpuc.ca.gov/industries-and-topics/natural-gas/long-term-gas-planning-rulemaking. </t>
  </si>
  <si>
    <t>[11] Exclude HPR-type regulators from this analysis. “HPR-type” means reduces to pressure of 1 through 60 psig and is an “HPR-type” regulator station or a district served by such a station. “HPR-type” refers to a regulator station that uses any of the following spring-operated regulators: Fisher 621, Fisher 627, Fisher 630, Reliance Model HPR 10, Reliance Model HPR 20, Reliance Model HPR 268, Rockwell 141, Rockwell 141A, Rockwell 041, Sprague/Itron B35. HPR-type regulators are excluded because they are smaller and simpler than medium-pressure and low-pressure regulators. These definitions align with regulator station categories proposed in Appendix B Direction to Utilities Draft for Comment,  https://docs.cpuc.ca.gov/PublishedDocs/Efile/G000/M556/K897/556897318.PDF. Transmission-level regulator stations are not included.</t>
  </si>
  <si>
    <t>Cost Category</t>
  </si>
  <si>
    <t>Fleet</t>
  </si>
  <si>
    <t>Use of utility-owned vehicles.</t>
  </si>
  <si>
    <t>Permitting</t>
  </si>
  <si>
    <t>Costs of acquiring local permits.</t>
  </si>
  <si>
    <t>AFUDC</t>
  </si>
  <si>
    <t>Allowance funds used during construction. Refers to the costs of construction-related borrowing.</t>
  </si>
  <si>
    <t>Land</t>
  </si>
  <si>
    <t>Payments for easements or right-of-way.</t>
  </si>
  <si>
    <t>Other</t>
  </si>
  <si>
    <t>Include utility-owned and utility-rented building and facilities overhead; taxes other than payroll; discounts from contractors; minor materials, e.g. fuel, office supplies and safety equipment; shipping and hazardous waste costs; and other minor costs associated with these activities. Also include these gas distribution replacement activities’ share of the cost of capital tools, e.g., pipe cutting and tapping equipment.</t>
  </si>
  <si>
    <t>Administrative &amp; General Costs</t>
  </si>
  <si>
    <t>Exclude permitting. Include other capitalized A&amp;G costs. Note this tends to be a relatively large category.</t>
  </si>
  <si>
    <t>General Directions</t>
  </si>
  <si>
    <t>Calculation Directions</t>
  </si>
  <si>
    <r>
      <t>a.</t>
    </r>
    <r>
      <rPr>
        <sz val="12"/>
        <color rgb="FF000000"/>
        <rFont val="Times New Roman"/>
        <family val="1"/>
      </rPr>
      <t xml:space="preserve">    </t>
    </r>
    <r>
      <rPr>
        <sz val="12"/>
        <color rgb="FF000000"/>
        <rFont val="Book Antiqua"/>
        <family val="1"/>
      </rPr>
      <t>In the utility-specific “Calculations” tab, fill in the blue cells with the information for the proposed avoided gas project site. There are 17 required blue cells and 10 optional cells.</t>
    </r>
  </si>
  <si>
    <t>August 2026 Version</t>
  </si>
  <si>
    <t>[miles of services]</t>
  </si>
  <si>
    <t>[miles of mains]</t>
  </si>
  <si>
    <t>[count of regulator stations]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</si>
</sst>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2">
    <numFmt numFmtId="5" formatCode="&quot;$&quot;#,##0_);\(&quot;$&quot;#,##0\)"/>
    <numFmt numFmtId="6" formatCode="&quot;$&quot;#,##0_);[Red]\(&quot;$&quot;#,##0\)"/>
    <numFmt numFmtId="8" formatCode="&quot;$&quot;#,##0.00_);[Red]\(&quot;$&quot;#,##0.00\)"/>
    <numFmt numFmtId="44" formatCode="_(&quot;$&quot;* #,##0.00_);_(&quot;$&quot;* \(#,##0.00\);_(&quot;$&quot;* &quot;-&quot;??_);_(@_)"/>
    <numFmt numFmtId="43" formatCode="_(* #,##0.00_);_(* \(#,##0.00\);_(* &quot;-&quot;??_);_(@_)"/>
    <numFmt numFmtId="164" formatCode="&quot;$&quot;#,##0.00"/>
    <numFmt numFmtId="165" formatCode="0.0"/>
    <numFmt numFmtId="166" formatCode="&quot;$&quot;#,##0"/>
    <numFmt numFmtId="167" formatCode="_(* #,##0_);_(* \(#,##0\);_(* &quot;-&quot;??_);_(@_)"/>
    <numFmt numFmtId="168" formatCode="_(&quot;$&quot;* #,##0_);_(&quot;$&quot;* \(#,##0\);_(&quot;$&quot;* &quot;-&quot;??_);_(@_)"/>
    <numFmt numFmtId="169" formatCode="0.000"/>
    <numFmt numFmtId="170" formatCode="_(* #,##0.0_);_(* \(#,##0.0\);_(* &quot;-&quot;??_);_(@_)"/>
  </numFmts>
  <fonts count="33" x14ac:knownFonts="1">
    <font>
      <sz val="11"/>
      <color theme="1"/>
      <name val="Aptos Narrow"/>
      <family val="2"/>
      <scheme val="minor"/>
    </font>
    <font>
      <sz val="12"/>
      <color theme="1"/>
      <name val="Book Antiqua"/>
      <family val="1"/>
    </font>
    <font>
      <b/>
      <sz val="12"/>
      <color rgb="FF000000"/>
      <name val="Book Antiqua"/>
      <family val="1"/>
    </font>
    <font>
      <sz val="12"/>
      <color rgb="FF000000"/>
      <name val="Book Antiqua"/>
      <family val="1"/>
    </font>
    <font>
      <sz val="8"/>
      <color theme="1"/>
      <name val="Book Antiqua"/>
      <family val="1"/>
    </font>
    <font>
      <i/>
      <sz val="12"/>
      <color theme="1"/>
      <name val="Book Antiqua"/>
      <family val="1"/>
    </font>
    <font>
      <sz val="10"/>
      <color theme="1"/>
      <name val="Book Antiqua"/>
      <family val="1"/>
    </font>
    <font>
      <u/>
      <sz val="11"/>
      <color theme="10"/>
      <name val="Aptos Narrow"/>
      <family val="2"/>
      <scheme val="minor"/>
    </font>
    <font>
      <b/>
      <sz val="12"/>
      <color theme="1"/>
      <name val="Book Antiqua"/>
      <family val="1"/>
    </font>
    <font>
      <sz val="13"/>
      <color theme="1"/>
      <name val="Book Antiqua"/>
      <family val="1"/>
    </font>
    <font>
      <i/>
      <sz val="13"/>
      <color theme="1"/>
      <name val="Book Antiqua"/>
      <family val="1"/>
    </font>
    <font>
      <i/>
      <sz val="13"/>
      <color theme="1"/>
      <name val="Times New Roman"/>
      <family val="1"/>
    </font>
    <font>
      <sz val="11"/>
      <name val="Book Antiqua"/>
      <family val="1"/>
    </font>
    <font>
      <sz val="12"/>
      <color rgb="FF000000"/>
      <name val="Garamond"/>
      <family val="1"/>
    </font>
    <font>
      <sz val="8"/>
      <color rgb="FF000000"/>
      <name val="Book Antiqua"/>
      <family val="1"/>
    </font>
    <font>
      <sz val="8"/>
      <name val="Aptos Narrow"/>
      <family val="2"/>
      <scheme val="minor"/>
    </font>
    <font>
      <sz val="10"/>
      <color rgb="FF000000"/>
      <name val="Arial"/>
      <family val="2"/>
    </font>
    <font>
      <sz val="11"/>
      <color theme="1"/>
      <name val="Aptos Narrow"/>
      <family val="2"/>
      <scheme val="minor"/>
    </font>
    <font>
      <sz val="11"/>
      <color theme="1"/>
      <name val="Book Antiqua"/>
      <family val="1"/>
    </font>
    <font>
      <b/>
      <sz val="12"/>
      <name val="Book Antiqua"/>
      <family val="1"/>
    </font>
    <font>
      <b/>
      <vertAlign val="superscript"/>
      <sz val="12"/>
      <name val="Book Antiqua"/>
      <family val="1"/>
    </font>
    <font>
      <sz val="12"/>
      <name val="Book Antiqua"/>
      <family val="1"/>
    </font>
    <font>
      <b/>
      <u/>
      <sz val="8"/>
      <color theme="1"/>
      <name val="Book Antiqua"/>
      <family val="1"/>
    </font>
    <font>
      <i/>
      <sz val="12"/>
      <name val="Book Antiqua"/>
      <family val="1"/>
    </font>
    <font>
      <sz val="8"/>
      <name val="Book Antiqua"/>
      <family val="1"/>
    </font>
    <font>
      <sz val="11"/>
      <name val="Aptos Narrow"/>
      <family val="2"/>
      <scheme val="minor"/>
    </font>
    <font>
      <i/>
      <sz val="12"/>
      <color rgb="FF000000"/>
      <name val="Book Antiqua"/>
      <family val="1"/>
    </font>
    <font>
      <i/>
      <sz val="10"/>
      <color theme="1"/>
      <name val="Book Antiqua"/>
      <family val="1"/>
    </font>
    <font>
      <sz val="12"/>
      <name val="Book Antiqua"/>
      <family val="1"/>
    </font>
    <font>
      <sz val="11"/>
      <color rgb="FF242424"/>
      <name val="Aptos Narrow"/>
      <family val="2"/>
    </font>
    <font>
      <sz val="10"/>
      <name val="Book Antiqua"/>
      <family val="1"/>
    </font>
    <font>
      <sz val="12"/>
      <color theme="1"/>
      <name val="Aptos Narrow"/>
      <family val="2"/>
      <scheme val="minor"/>
    </font>
    <font>
      <sz val="12"/>
      <color rgb="FF000000"/>
      <name val="Times New Roman"/>
      <family val="1"/>
    </font>
  </fonts>
  <fills count="7">
    <fill>
      <patternFill patternType="none"/>
    </fill>
    <fill>
      <patternFill patternType="gray125"/>
    </fill>
    <fill>
      <patternFill patternType="solid">
        <fgColor rgb="FFD9D9D9"/>
        <bgColor indexed="64"/>
      </patternFill>
    </fill>
    <fill>
      <patternFill patternType="solid">
        <fgColor theme="2" tint="-9.9978637043366805E-2"/>
        <bgColor indexed="64"/>
      </patternFill>
    </fill>
    <fill>
      <patternFill patternType="solid">
        <fgColor theme="0"/>
        <bgColor indexed="64"/>
      </patternFill>
    </fill>
    <fill>
      <patternFill patternType="solid">
        <fgColor theme="7" tint="0.79998168889431442"/>
        <bgColor indexed="64"/>
      </patternFill>
    </fill>
    <fill>
      <patternFill patternType="solid">
        <fgColor theme="8" tint="0.79998168889431442"/>
        <bgColor indexed="64"/>
      </patternFill>
    </fill>
  </fills>
  <borders count="16">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style="medium">
        <color indexed="64"/>
      </right>
      <top/>
      <bottom/>
      <diagonal/>
    </border>
    <border>
      <left style="medium">
        <color indexed="64"/>
      </left>
      <right style="medium">
        <color indexed="64"/>
      </right>
      <top/>
      <bottom/>
      <diagonal/>
    </border>
    <border>
      <left style="thin">
        <color indexed="64"/>
      </left>
      <right style="thin">
        <color indexed="64"/>
      </right>
      <top/>
      <bottom style="thin">
        <color indexed="64"/>
      </bottom>
      <diagonal/>
    </border>
    <border>
      <left style="medium">
        <color indexed="64"/>
      </left>
      <right/>
      <top/>
      <bottom style="medium">
        <color indexed="64"/>
      </bottom>
      <diagonal/>
    </border>
    <border>
      <left style="medium">
        <color indexed="64"/>
      </left>
      <right/>
      <top/>
      <bottom/>
      <diagonal/>
    </border>
  </borders>
  <cellStyleXfs count="4">
    <xf numFmtId="0" fontId="0" fillId="0" borderId="0"/>
    <xf numFmtId="0" fontId="7" fillId="0" borderId="0" applyNumberFormat="0" applyFill="0" applyBorder="0" applyAlignment="0" applyProtection="0"/>
    <xf numFmtId="43" fontId="17" fillId="0" borderId="0" applyFont="0" applyFill="0" applyBorder="0" applyAlignment="0" applyProtection="0"/>
    <xf numFmtId="44" fontId="17" fillId="0" borderId="0" applyFont="0" applyFill="0" applyBorder="0" applyAlignment="0" applyProtection="0"/>
  </cellStyleXfs>
  <cellXfs count="302">
    <xf numFmtId="0" fontId="0" fillId="0" borderId="0" xfId="0"/>
    <xf numFmtId="0" fontId="1" fillId="0" borderId="0" xfId="0" applyFont="1"/>
    <xf numFmtId="0" fontId="2" fillId="0" borderId="1" xfId="0" applyFont="1" applyBorder="1" applyAlignment="1">
      <alignment vertical="center" wrapText="1"/>
    </xf>
    <xf numFmtId="0" fontId="2" fillId="0" borderId="2" xfId="0" applyFont="1" applyBorder="1" applyAlignment="1">
      <alignment vertical="center" wrapText="1"/>
    </xf>
    <xf numFmtId="0" fontId="1" fillId="0" borderId="3" xfId="0" applyFont="1" applyBorder="1" applyAlignment="1">
      <alignment vertical="center" wrapText="1"/>
    </xf>
    <xf numFmtId="0" fontId="1" fillId="0" borderId="4" xfId="0" applyFont="1" applyBorder="1" applyAlignment="1">
      <alignment vertical="center" wrapText="1"/>
    </xf>
    <xf numFmtId="0" fontId="5" fillId="0" borderId="4" xfId="0" applyFont="1" applyBorder="1" applyAlignment="1">
      <alignment vertical="center" wrapText="1"/>
    </xf>
    <xf numFmtId="0" fontId="3" fillId="0" borderId="4" xfId="0" applyFont="1" applyBorder="1" applyAlignment="1">
      <alignment vertical="center" wrapText="1"/>
    </xf>
    <xf numFmtId="0" fontId="0" fillId="0" borderId="0" xfId="0" applyAlignment="1">
      <alignment wrapText="1"/>
    </xf>
    <xf numFmtId="0" fontId="4" fillId="0" borderId="0" xfId="0" applyFont="1" applyAlignment="1">
      <alignment vertical="center" wrapText="1"/>
    </xf>
    <xf numFmtId="0" fontId="1" fillId="0" borderId="0" xfId="0" applyFont="1" applyAlignment="1">
      <alignment wrapText="1"/>
    </xf>
    <xf numFmtId="0" fontId="1" fillId="3" borderId="4" xfId="0" applyFont="1" applyFill="1" applyBorder="1" applyAlignment="1">
      <alignment vertical="center" wrapText="1"/>
    </xf>
    <xf numFmtId="0" fontId="3" fillId="3" borderId="5" xfId="0" applyFont="1" applyFill="1" applyBorder="1" applyAlignment="1">
      <alignment vertical="center" wrapText="1"/>
    </xf>
    <xf numFmtId="0" fontId="3" fillId="3" borderId="6" xfId="0" applyFont="1" applyFill="1" applyBorder="1" applyAlignment="1">
      <alignment vertical="center" wrapText="1"/>
    </xf>
    <xf numFmtId="0" fontId="8" fillId="0" borderId="2" xfId="0" applyFont="1" applyBorder="1" applyAlignment="1">
      <alignment vertical="center" wrapText="1"/>
    </xf>
    <xf numFmtId="0" fontId="3" fillId="0" borderId="1" xfId="0" applyFont="1" applyBorder="1" applyAlignment="1">
      <alignment vertical="center" wrapText="1"/>
    </xf>
    <xf numFmtId="0" fontId="3" fillId="0" borderId="2" xfId="0" applyFont="1" applyBorder="1" applyAlignment="1">
      <alignment vertical="center" wrapText="1"/>
    </xf>
    <xf numFmtId="0" fontId="10" fillId="0" borderId="0" xfId="0" applyFont="1" applyAlignment="1">
      <alignment horizontal="left" vertical="center" wrapText="1"/>
    </xf>
    <xf numFmtId="0" fontId="9" fillId="0" borderId="0" xfId="0" applyFont="1" applyAlignment="1">
      <alignment horizontal="left" vertical="center" wrapText="1"/>
    </xf>
    <xf numFmtId="0" fontId="12" fillId="0" borderId="0" xfId="1" applyFont="1" applyAlignment="1">
      <alignment horizontal="left" vertical="top" wrapText="1"/>
    </xf>
    <xf numFmtId="0" fontId="3" fillId="0" borderId="3" xfId="0" applyFont="1" applyBorder="1" applyAlignment="1">
      <alignment vertical="center" wrapText="1"/>
    </xf>
    <xf numFmtId="0" fontId="2" fillId="0" borderId="1" xfId="0" applyFont="1" applyBorder="1" applyAlignment="1">
      <alignment vertical="center"/>
    </xf>
    <xf numFmtId="0" fontId="4" fillId="0" borderId="0" xfId="0" applyFont="1" applyAlignment="1">
      <alignment vertical="center"/>
    </xf>
    <xf numFmtId="0" fontId="1" fillId="0" borderId="0" xfId="0" applyFont="1" applyAlignment="1">
      <alignment vertical="center" wrapText="1"/>
    </xf>
    <xf numFmtId="0" fontId="3" fillId="0" borderId="9" xfId="0" applyFont="1" applyBorder="1" applyAlignment="1">
      <alignment horizontal="center" vertical="center" wrapText="1"/>
    </xf>
    <xf numFmtId="49" fontId="1" fillId="0" borderId="0" xfId="0" applyNumberFormat="1" applyFont="1" applyAlignment="1">
      <alignment wrapText="1"/>
    </xf>
    <xf numFmtId="1" fontId="1" fillId="0" borderId="0" xfId="0" applyNumberFormat="1" applyFont="1" applyAlignment="1">
      <alignment wrapText="1"/>
    </xf>
    <xf numFmtId="0" fontId="18" fillId="0" borderId="0" xfId="0" applyFont="1"/>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19" fillId="0" borderId="6" xfId="0" applyFont="1" applyBorder="1" applyAlignment="1">
      <alignment horizontal="center" vertical="center" wrapText="1"/>
    </xf>
    <xf numFmtId="0" fontId="1" fillId="0" borderId="0" xfId="0" applyFont="1" applyAlignment="1">
      <alignment horizontal="center" wrapText="1"/>
    </xf>
    <xf numFmtId="166" fontId="3" fillId="0" borderId="4" xfId="0" applyNumberFormat="1" applyFont="1" applyBorder="1" applyAlignment="1">
      <alignment vertical="center" wrapText="1"/>
    </xf>
    <xf numFmtId="166" fontId="3" fillId="0" borderId="1" xfId="0" applyNumberFormat="1" applyFont="1" applyBorder="1" applyAlignment="1">
      <alignment vertical="center" wrapText="1"/>
    </xf>
    <xf numFmtId="1" fontId="3" fillId="0" borderId="4" xfId="0" applyNumberFormat="1" applyFont="1" applyBorder="1" applyAlignment="1">
      <alignment vertical="center" wrapText="1"/>
    </xf>
    <xf numFmtId="1" fontId="3" fillId="0" borderId="1" xfId="0" applyNumberFormat="1" applyFont="1" applyBorder="1" applyAlignment="1">
      <alignment vertical="center" wrapText="1"/>
    </xf>
    <xf numFmtId="165" fontId="3" fillId="0" borderId="4" xfId="0" applyNumberFormat="1" applyFont="1" applyBorder="1" applyAlignment="1">
      <alignment vertical="center" wrapText="1"/>
    </xf>
    <xf numFmtId="165" fontId="3" fillId="0" borderId="1" xfId="0" applyNumberFormat="1" applyFont="1" applyBorder="1" applyAlignment="1">
      <alignment vertical="center" wrapText="1"/>
    </xf>
    <xf numFmtId="0" fontId="3" fillId="3" borderId="10" xfId="0" applyFont="1" applyFill="1" applyBorder="1" applyAlignment="1">
      <alignment vertical="center" wrapText="1"/>
    </xf>
    <xf numFmtId="166" fontId="3" fillId="0" borderId="10" xfId="0" applyNumberFormat="1" applyFont="1" applyBorder="1" applyAlignment="1">
      <alignment vertical="center" wrapText="1"/>
    </xf>
    <xf numFmtId="0" fontId="3" fillId="2" borderId="1" xfId="0" applyFont="1" applyFill="1" applyBorder="1" applyAlignment="1">
      <alignment vertical="center" wrapText="1"/>
    </xf>
    <xf numFmtId="166" fontId="1" fillId="0" borderId="4" xfId="0" applyNumberFormat="1" applyFont="1" applyBorder="1" applyAlignment="1">
      <alignment vertical="center" wrapText="1"/>
    </xf>
    <xf numFmtId="167" fontId="3" fillId="0" borderId="4" xfId="0" applyNumberFormat="1" applyFont="1" applyBorder="1" applyAlignment="1">
      <alignment vertical="center" wrapText="1"/>
    </xf>
    <xf numFmtId="167" fontId="3" fillId="0" borderId="10" xfId="0" applyNumberFormat="1" applyFont="1" applyBorder="1" applyAlignment="1">
      <alignment vertical="center" wrapText="1"/>
    </xf>
    <xf numFmtId="167" fontId="3" fillId="0" borderId="1" xfId="2" applyNumberFormat="1" applyFont="1" applyBorder="1" applyAlignment="1">
      <alignment vertical="center" wrapText="1"/>
    </xf>
    <xf numFmtId="0" fontId="1" fillId="0" borderId="0" xfId="0" applyFont="1" applyAlignment="1">
      <alignment vertical="top" wrapText="1"/>
    </xf>
    <xf numFmtId="0" fontId="1" fillId="0" borderId="10" xfId="0" applyFont="1" applyBorder="1" applyAlignment="1">
      <alignment wrapText="1"/>
    </xf>
    <xf numFmtId="0" fontId="0" fillId="0" borderId="10" xfId="0" applyBorder="1" applyAlignment="1">
      <alignment wrapText="1"/>
    </xf>
    <xf numFmtId="0" fontId="2" fillId="0" borderId="1" xfId="0" applyFont="1" applyBorder="1" applyAlignment="1">
      <alignment vertical="top" wrapText="1"/>
    </xf>
    <xf numFmtId="168" fontId="1" fillId="0" borderId="4" xfId="0" applyNumberFormat="1" applyFont="1" applyBorder="1" applyAlignment="1">
      <alignment vertical="center" wrapText="1"/>
    </xf>
    <xf numFmtId="0" fontId="1" fillId="0" borderId="1" xfId="0" applyFont="1" applyBorder="1" applyAlignment="1">
      <alignment vertical="top" wrapText="1"/>
    </xf>
    <xf numFmtId="0" fontId="21" fillId="0" borderId="3" xfId="0" applyFont="1" applyBorder="1" applyAlignment="1">
      <alignment vertical="center" wrapText="1"/>
    </xf>
    <xf numFmtId="0" fontId="21" fillId="0" borderId="4" xfId="0" applyFont="1" applyBorder="1" applyAlignment="1">
      <alignment vertical="center" wrapText="1"/>
    </xf>
    <xf numFmtId="165" fontId="21" fillId="0" borderId="4" xfId="0" applyNumberFormat="1" applyFont="1" applyBorder="1" applyAlignment="1">
      <alignment vertical="center" wrapText="1"/>
    </xf>
    <xf numFmtId="0" fontId="21" fillId="0" borderId="1" xfId="0" applyFont="1" applyBorder="1" applyAlignment="1">
      <alignment vertical="top" wrapText="1"/>
    </xf>
    <xf numFmtId="0" fontId="21" fillId="0" borderId="0" xfId="0" applyFont="1" applyAlignment="1">
      <alignment wrapText="1"/>
    </xf>
    <xf numFmtId="168" fontId="3" fillId="0" borderId="4" xfId="0" applyNumberFormat="1" applyFont="1" applyBorder="1" applyAlignment="1">
      <alignment vertical="center" wrapText="1"/>
    </xf>
    <xf numFmtId="168" fontId="21" fillId="0" borderId="4" xfId="0" applyNumberFormat="1" applyFont="1" applyBorder="1" applyAlignment="1">
      <alignment vertical="center" wrapText="1"/>
    </xf>
    <xf numFmtId="0" fontId="23" fillId="0" borderId="4" xfId="0" applyFont="1" applyBorder="1" applyAlignment="1">
      <alignment vertical="center" wrapText="1"/>
    </xf>
    <xf numFmtId="0" fontId="21" fillId="0" borderId="1" xfId="0" applyFont="1" applyBorder="1" applyAlignment="1">
      <alignment vertical="center" wrapText="1"/>
    </xf>
    <xf numFmtId="1" fontId="21" fillId="0" borderId="1" xfId="0" applyNumberFormat="1" applyFont="1" applyBorder="1" applyAlignment="1">
      <alignment vertical="center" wrapText="1"/>
    </xf>
    <xf numFmtId="0" fontId="0" fillId="0" borderId="0" xfId="0" applyAlignment="1">
      <alignment vertical="top" wrapText="1"/>
    </xf>
    <xf numFmtId="0" fontId="2" fillId="0" borderId="8" xfId="0" applyFont="1" applyBorder="1" applyAlignment="1">
      <alignment vertical="center" wrapText="1"/>
    </xf>
    <xf numFmtId="0" fontId="3" fillId="0" borderId="11" xfId="0" applyFont="1" applyBorder="1" applyAlignment="1">
      <alignment vertical="center" wrapText="1"/>
    </xf>
    <xf numFmtId="0" fontId="1" fillId="0" borderId="1" xfId="0" applyFont="1" applyBorder="1" applyAlignment="1">
      <alignment wrapText="1"/>
    </xf>
    <xf numFmtId="0" fontId="3" fillId="0" borderId="1" xfId="0" applyFont="1" applyBorder="1" applyAlignment="1">
      <alignment vertical="center"/>
    </xf>
    <xf numFmtId="0" fontId="21" fillId="0" borderId="9" xfId="0" applyFont="1" applyBorder="1" applyAlignment="1">
      <alignment vertical="center" wrapText="1"/>
    </xf>
    <xf numFmtId="0" fontId="25" fillId="0" borderId="0" xfId="0" applyFont="1" applyAlignment="1">
      <alignment wrapText="1"/>
    </xf>
    <xf numFmtId="0" fontId="5" fillId="0" borderId="3" xfId="0" applyFont="1" applyBorder="1" applyAlignment="1">
      <alignment vertical="center" wrapText="1"/>
    </xf>
    <xf numFmtId="0" fontId="26" fillId="0" borderId="4" xfId="0" applyFont="1" applyBorder="1" applyAlignment="1">
      <alignment vertical="center" wrapText="1"/>
    </xf>
    <xf numFmtId="166" fontId="26" fillId="0" borderId="4" xfId="0" applyNumberFormat="1" applyFont="1" applyBorder="1" applyAlignment="1">
      <alignment vertical="center" wrapText="1"/>
    </xf>
    <xf numFmtId="166" fontId="26" fillId="0" borderId="1" xfId="0" applyNumberFormat="1" applyFont="1" applyBorder="1" applyAlignment="1">
      <alignment vertical="center" wrapText="1"/>
    </xf>
    <xf numFmtId="0" fontId="5" fillId="0" borderId="0" xfId="0" applyFont="1" applyAlignment="1">
      <alignment wrapText="1"/>
    </xf>
    <xf numFmtId="0" fontId="7" fillId="0" borderId="0" xfId="1" applyAlignment="1">
      <alignment horizontal="left" vertical="top" wrapText="1"/>
    </xf>
    <xf numFmtId="0" fontId="6" fillId="0" borderId="0" xfId="0" applyFont="1" applyAlignment="1">
      <alignment horizontal="left" vertical="top" wrapText="1"/>
    </xf>
    <xf numFmtId="0" fontId="22" fillId="0" borderId="0" xfId="0" applyFont="1" applyAlignment="1">
      <alignment horizontal="left" vertical="top" wrapText="1"/>
    </xf>
    <xf numFmtId="2" fontId="1" fillId="0" borderId="0" xfId="0" applyNumberFormat="1" applyFont="1" applyAlignment="1">
      <alignment wrapText="1"/>
    </xf>
    <xf numFmtId="166" fontId="3" fillId="0" borderId="3" xfId="0" applyNumberFormat="1" applyFont="1" applyBorder="1" applyAlignment="1">
      <alignment vertical="center" wrapText="1"/>
    </xf>
    <xf numFmtId="166" fontId="26" fillId="0" borderId="3" xfId="0" applyNumberFormat="1" applyFont="1" applyBorder="1" applyAlignment="1">
      <alignment vertical="center" wrapText="1"/>
    </xf>
    <xf numFmtId="1" fontId="3" fillId="0" borderId="3" xfId="0" applyNumberFormat="1" applyFont="1" applyBorder="1" applyAlignment="1">
      <alignment vertical="center" wrapText="1"/>
    </xf>
    <xf numFmtId="165" fontId="3" fillId="0" borderId="3" xfId="0" applyNumberFormat="1" applyFont="1" applyBorder="1" applyAlignment="1">
      <alignment vertical="center" wrapText="1"/>
    </xf>
    <xf numFmtId="0" fontId="28" fillId="0" borderId="0" xfId="0" applyFont="1" applyAlignment="1">
      <alignment horizontal="left" vertical="top" wrapText="1"/>
    </xf>
    <xf numFmtId="0" fontId="19" fillId="0" borderId="2" xfId="0" applyFont="1" applyBorder="1" applyAlignment="1">
      <alignment vertical="center" wrapText="1"/>
    </xf>
    <xf numFmtId="1" fontId="21" fillId="0" borderId="4" xfId="0" applyNumberFormat="1" applyFont="1" applyBorder="1" applyAlignment="1">
      <alignment vertical="center" wrapText="1"/>
    </xf>
    <xf numFmtId="0" fontId="2" fillId="0" borderId="6" xfId="0" applyFont="1" applyBorder="1" applyAlignment="1">
      <alignment vertical="center" wrapText="1"/>
    </xf>
    <xf numFmtId="168" fontId="3" fillId="0" borderId="4" xfId="3" applyNumberFormat="1" applyFont="1" applyBorder="1" applyAlignment="1">
      <alignment vertical="center" wrapText="1"/>
    </xf>
    <xf numFmtId="0" fontId="1" fillId="0" borderId="0" xfId="0" applyFont="1" applyAlignment="1">
      <alignment vertical="center"/>
    </xf>
    <xf numFmtId="0" fontId="3" fillId="0" borderId="6" xfId="0" applyFont="1" applyBorder="1" applyAlignment="1">
      <alignment vertical="center" wrapText="1"/>
    </xf>
    <xf numFmtId="0" fontId="2" fillId="0" borderId="9" xfId="0" applyFont="1" applyBorder="1" applyAlignment="1">
      <alignment vertical="center" wrapText="1"/>
    </xf>
    <xf numFmtId="0" fontId="3" fillId="0" borderId="9" xfId="0" applyFont="1" applyBorder="1" applyAlignment="1">
      <alignment vertical="center" wrapText="1"/>
    </xf>
    <xf numFmtId="0" fontId="1" fillId="0" borderId="1" xfId="0" applyFont="1" applyBorder="1" applyAlignment="1">
      <alignment vertical="center" wrapText="1"/>
    </xf>
    <xf numFmtId="0" fontId="1" fillId="0" borderId="2" xfId="0" applyFont="1" applyBorder="1" applyAlignment="1">
      <alignment vertical="center" wrapText="1"/>
    </xf>
    <xf numFmtId="166" fontId="3" fillId="0" borderId="2" xfId="0" applyNumberFormat="1" applyFont="1" applyBorder="1" applyAlignment="1">
      <alignment vertical="center" wrapText="1"/>
    </xf>
    <xf numFmtId="0" fontId="5" fillId="0" borderId="1" xfId="0" applyFont="1" applyBorder="1" applyAlignment="1">
      <alignment vertical="center" wrapText="1"/>
    </xf>
    <xf numFmtId="0" fontId="5" fillId="0" borderId="2" xfId="0" applyFont="1" applyBorder="1" applyAlignment="1">
      <alignment vertical="center" wrapText="1"/>
    </xf>
    <xf numFmtId="0" fontId="26" fillId="0" borderId="2" xfId="0" applyFont="1" applyBorder="1" applyAlignment="1">
      <alignment vertical="center" wrapText="1"/>
    </xf>
    <xf numFmtId="166" fontId="26" fillId="0" borderId="2" xfId="0" applyNumberFormat="1" applyFont="1" applyBorder="1" applyAlignment="1">
      <alignment vertical="center" wrapText="1"/>
    </xf>
    <xf numFmtId="1" fontId="3" fillId="3" borderId="10" xfId="0" applyNumberFormat="1" applyFont="1" applyFill="1" applyBorder="1" applyAlignment="1">
      <alignment vertical="center" wrapText="1"/>
    </xf>
    <xf numFmtId="166" fontId="26" fillId="3" borderId="6" xfId="0" applyNumberFormat="1" applyFont="1" applyFill="1" applyBorder="1" applyAlignment="1">
      <alignment vertical="center" wrapText="1"/>
    </xf>
    <xf numFmtId="164" fontId="3" fillId="3" borderId="10" xfId="0" applyNumberFormat="1" applyFont="1" applyFill="1" applyBorder="1" applyAlignment="1">
      <alignment vertical="center" wrapText="1"/>
    </xf>
    <xf numFmtId="165" fontId="3" fillId="3" borderId="10" xfId="0" applyNumberFormat="1" applyFont="1" applyFill="1" applyBorder="1" applyAlignment="1">
      <alignment vertical="center" wrapText="1"/>
    </xf>
    <xf numFmtId="164" fontId="3" fillId="3" borderId="2" xfId="0" applyNumberFormat="1" applyFont="1" applyFill="1" applyBorder="1" applyAlignment="1">
      <alignment vertical="center" wrapText="1"/>
    </xf>
    <xf numFmtId="166" fontId="3" fillId="3" borderId="4" xfId="0" applyNumberFormat="1" applyFont="1" applyFill="1" applyBorder="1" applyAlignment="1">
      <alignment vertical="center" wrapText="1"/>
    </xf>
    <xf numFmtId="164" fontId="26" fillId="3" borderId="10" xfId="0" applyNumberFormat="1" applyFont="1" applyFill="1" applyBorder="1" applyAlignment="1">
      <alignment vertical="center" wrapText="1"/>
    </xf>
    <xf numFmtId="166" fontId="26" fillId="3" borderId="10" xfId="0" applyNumberFormat="1" applyFont="1" applyFill="1" applyBorder="1" applyAlignment="1">
      <alignment vertical="center" wrapText="1"/>
    </xf>
    <xf numFmtId="0" fontId="1" fillId="0" borderId="0" xfId="0" applyFont="1" applyAlignment="1">
      <alignment vertical="top"/>
    </xf>
    <xf numFmtId="164" fontId="27" fillId="0" borderId="1" xfId="0" applyNumberFormat="1" applyFont="1" applyBorder="1" applyAlignment="1">
      <alignment vertical="top" wrapText="1"/>
    </xf>
    <xf numFmtId="0" fontId="27" fillId="0" borderId="1" xfId="0" applyFont="1" applyBorder="1" applyAlignment="1">
      <alignment vertical="top" wrapText="1"/>
    </xf>
    <xf numFmtId="0" fontId="6" fillId="0" borderId="0" xfId="0" applyFont="1" applyAlignment="1">
      <alignment vertical="top" wrapText="1"/>
    </xf>
    <xf numFmtId="164" fontId="6" fillId="0" borderId="1" xfId="0" applyNumberFormat="1" applyFont="1" applyBorder="1" applyAlignment="1">
      <alignment vertical="top" wrapText="1"/>
    </xf>
    <xf numFmtId="0" fontId="6" fillId="0" borderId="1" xfId="0" applyFont="1" applyBorder="1" applyAlignment="1">
      <alignment vertical="top" wrapText="1"/>
    </xf>
    <xf numFmtId="0" fontId="3" fillId="3" borderId="6" xfId="0" applyFont="1" applyFill="1" applyBorder="1" applyAlignment="1">
      <alignment vertical="top" wrapText="1"/>
    </xf>
    <xf numFmtId="0" fontId="6" fillId="0" borderId="1" xfId="0" quotePrefix="1" applyFont="1" applyBorder="1" applyAlignment="1">
      <alignment vertical="top" wrapText="1"/>
    </xf>
    <xf numFmtId="0" fontId="19" fillId="0" borderId="1" xfId="0" applyFont="1" applyBorder="1" applyAlignment="1">
      <alignment horizontal="center" vertical="center" wrapText="1"/>
    </xf>
    <xf numFmtId="1" fontId="3" fillId="0" borderId="2" xfId="0" applyNumberFormat="1" applyFont="1" applyBorder="1" applyAlignment="1">
      <alignment vertical="center" wrapText="1"/>
    </xf>
    <xf numFmtId="0" fontId="30" fillId="0" borderId="1" xfId="0" applyFont="1" applyBorder="1" applyAlignment="1">
      <alignment wrapText="1"/>
    </xf>
    <xf numFmtId="166" fontId="1" fillId="0" borderId="2" xfId="0" applyNumberFormat="1" applyFont="1" applyBorder="1" applyAlignment="1">
      <alignment vertical="center" wrapText="1"/>
    </xf>
    <xf numFmtId="0" fontId="1" fillId="3" borderId="6" xfId="0" applyFont="1" applyFill="1" applyBorder="1"/>
    <xf numFmtId="0" fontId="1" fillId="3" borderId="2" xfId="0" applyFont="1" applyFill="1" applyBorder="1"/>
    <xf numFmtId="0" fontId="30" fillId="0" borderId="1" xfId="0" applyFont="1" applyBorder="1" applyAlignment="1">
      <alignment vertical="top" wrapText="1"/>
    </xf>
    <xf numFmtId="0" fontId="1" fillId="0" borderId="3" xfId="0" quotePrefix="1" applyFont="1" applyBorder="1" applyAlignment="1">
      <alignment vertical="center" wrapText="1"/>
    </xf>
    <xf numFmtId="0" fontId="3" fillId="0" borderId="13" xfId="0" applyFont="1" applyBorder="1" applyAlignment="1">
      <alignment horizontal="center" vertical="center" wrapText="1"/>
    </xf>
    <xf numFmtId="0" fontId="2" fillId="0" borderId="0" xfId="0" applyFont="1" applyAlignment="1">
      <alignment vertical="center"/>
    </xf>
    <xf numFmtId="0" fontId="3" fillId="5" borderId="1" xfId="0" applyFont="1" applyFill="1" applyBorder="1" applyAlignment="1">
      <alignment vertical="center" wrapText="1"/>
    </xf>
    <xf numFmtId="0" fontId="3" fillId="5" borderId="2" xfId="0" applyFont="1" applyFill="1" applyBorder="1" applyAlignment="1">
      <alignment vertical="center" wrapText="1"/>
    </xf>
    <xf numFmtId="0" fontId="1" fillId="5" borderId="4" xfId="0" applyFont="1" applyFill="1" applyBorder="1" applyAlignment="1">
      <alignment vertical="center" wrapText="1"/>
    </xf>
    <xf numFmtId="0" fontId="2" fillId="5" borderId="2" xfId="0" applyFont="1" applyFill="1" applyBorder="1" applyAlignment="1">
      <alignment vertical="center" wrapText="1"/>
    </xf>
    <xf numFmtId="166" fontId="3" fillId="3" borderId="6" xfId="0" applyNumberFormat="1" applyFont="1" applyFill="1" applyBorder="1" applyAlignment="1">
      <alignment vertical="center" wrapText="1"/>
    </xf>
    <xf numFmtId="166" fontId="3" fillId="3" borderId="2" xfId="0" applyNumberFormat="1" applyFont="1" applyFill="1" applyBorder="1" applyAlignment="1">
      <alignment vertical="center" wrapText="1"/>
    </xf>
    <xf numFmtId="166" fontId="3" fillId="0" borderId="11" xfId="0" applyNumberFormat="1" applyFont="1" applyBorder="1" applyAlignment="1">
      <alignment vertical="center" wrapText="1"/>
    </xf>
    <xf numFmtId="0" fontId="1" fillId="3" borderId="14" xfId="0" applyFont="1" applyFill="1" applyBorder="1"/>
    <xf numFmtId="0" fontId="1" fillId="3" borderId="10" xfId="0" applyFont="1" applyFill="1" applyBorder="1"/>
    <xf numFmtId="166" fontId="3" fillId="3" borderId="5" xfId="0" applyNumberFormat="1" applyFont="1" applyFill="1" applyBorder="1" applyAlignment="1">
      <alignment vertical="center" wrapText="1"/>
    </xf>
    <xf numFmtId="0" fontId="12" fillId="0" borderId="0" xfId="1" applyFont="1" applyAlignment="1">
      <alignment horizontal="left" vertical="top"/>
    </xf>
    <xf numFmtId="1" fontId="3" fillId="3" borderId="1" xfId="0" applyNumberFormat="1" applyFont="1" applyFill="1" applyBorder="1" applyAlignment="1">
      <alignment vertical="center" wrapText="1"/>
    </xf>
    <xf numFmtId="44" fontId="1" fillId="3" borderId="4" xfId="3" applyFont="1" applyFill="1" applyBorder="1" applyAlignment="1">
      <alignment vertical="center" wrapText="1"/>
    </xf>
    <xf numFmtId="168" fontId="3" fillId="0" borderId="0" xfId="3" applyNumberFormat="1" applyFont="1" applyBorder="1" applyAlignment="1">
      <alignment vertical="center" wrapText="1"/>
    </xf>
    <xf numFmtId="0" fontId="8" fillId="0" borderId="0" xfId="0" applyFont="1" applyAlignment="1">
      <alignment horizontal="center" wrapText="1"/>
    </xf>
    <xf numFmtId="168" fontId="2" fillId="6" borderId="2" xfId="3" applyNumberFormat="1" applyFont="1" applyFill="1" applyBorder="1" applyAlignment="1">
      <alignment vertical="center" wrapText="1"/>
    </xf>
    <xf numFmtId="168" fontId="3" fillId="6" borderId="2" xfId="3" applyNumberFormat="1" applyFont="1" applyFill="1" applyBorder="1" applyAlignment="1">
      <alignment vertical="center" wrapText="1"/>
    </xf>
    <xf numFmtId="168" fontId="1" fillId="0" borderId="4" xfId="3" quotePrefix="1" applyNumberFormat="1" applyFont="1" applyBorder="1" applyAlignment="1">
      <alignment vertical="center" wrapText="1"/>
    </xf>
    <xf numFmtId="168" fontId="1" fillId="3" borderId="4" xfId="0" applyNumberFormat="1" applyFont="1" applyFill="1" applyBorder="1" applyAlignment="1">
      <alignment vertical="center" wrapText="1"/>
    </xf>
    <xf numFmtId="168" fontId="3" fillId="5" borderId="4" xfId="0" applyNumberFormat="1" applyFont="1" applyFill="1" applyBorder="1" applyAlignment="1">
      <alignment vertical="center" wrapText="1"/>
    </xf>
    <xf numFmtId="168" fontId="3" fillId="3" borderId="4" xfId="0" applyNumberFormat="1" applyFont="1" applyFill="1" applyBorder="1" applyAlignment="1">
      <alignment vertical="center" wrapText="1"/>
    </xf>
    <xf numFmtId="168" fontId="1" fillId="0" borderId="4" xfId="3" applyNumberFormat="1" applyFont="1" applyBorder="1" applyAlignment="1">
      <alignment vertical="center" wrapText="1"/>
    </xf>
    <xf numFmtId="168" fontId="3" fillId="6" borderId="4" xfId="3" applyNumberFormat="1" applyFont="1" applyFill="1" applyBorder="1" applyAlignment="1">
      <alignment vertical="center" wrapText="1"/>
    </xf>
    <xf numFmtId="6" fontId="5" fillId="0" borderId="1" xfId="0" applyNumberFormat="1" applyFont="1" applyBorder="1" applyAlignment="1">
      <alignment vertical="center" wrapText="1"/>
    </xf>
    <xf numFmtId="168" fontId="1" fillId="0" borderId="3" xfId="0" applyNumberFormat="1" applyFont="1" applyBorder="1" applyAlignment="1">
      <alignment vertical="center" wrapText="1"/>
    </xf>
    <xf numFmtId="0" fontId="3" fillId="0" borderId="15" xfId="0" applyFont="1" applyBorder="1" applyAlignment="1">
      <alignment vertical="center" wrapText="1"/>
    </xf>
    <xf numFmtId="168" fontId="3" fillId="0" borderId="15" xfId="3" applyNumberFormat="1" applyFont="1" applyBorder="1" applyAlignment="1">
      <alignment vertical="center" wrapText="1"/>
    </xf>
    <xf numFmtId="168" fontId="3" fillId="0" borderId="11" xfId="3" applyNumberFormat="1" applyFont="1" applyBorder="1" applyAlignment="1">
      <alignment vertical="center" wrapText="1"/>
    </xf>
    <xf numFmtId="168" fontId="3" fillId="0" borderId="14" xfId="3" applyNumberFormat="1" applyFont="1" applyBorder="1" applyAlignment="1">
      <alignment vertical="center" wrapText="1"/>
    </xf>
    <xf numFmtId="168" fontId="3" fillId="0" borderId="10" xfId="3" applyNumberFormat="1" applyFont="1" applyBorder="1" applyAlignment="1">
      <alignment vertical="center" wrapText="1"/>
    </xf>
    <xf numFmtId="0" fontId="3" fillId="0" borderId="14" xfId="0" applyFont="1" applyBorder="1" applyAlignment="1">
      <alignment vertical="center" wrapText="1"/>
    </xf>
    <xf numFmtId="0" fontId="2" fillId="0" borderId="5" xfId="0" applyFont="1" applyBorder="1" applyAlignment="1">
      <alignment vertical="center" wrapText="1"/>
    </xf>
    <xf numFmtId="168" fontId="3" fillId="0" borderId="5" xfId="0" applyNumberFormat="1" applyFont="1" applyBorder="1" applyAlignment="1">
      <alignment vertical="center" wrapText="1"/>
    </xf>
    <xf numFmtId="168" fontId="3" fillId="0" borderId="6" xfId="0" applyNumberFormat="1" applyFont="1" applyBorder="1" applyAlignment="1">
      <alignment vertical="center" wrapText="1"/>
    </xf>
    <xf numFmtId="168" fontId="3" fillId="0" borderId="2" xfId="0" applyNumberFormat="1" applyFont="1" applyBorder="1" applyAlignment="1">
      <alignment vertical="center" wrapText="1"/>
    </xf>
    <xf numFmtId="0" fontId="8" fillId="0" borderId="0" xfId="0" applyFont="1"/>
    <xf numFmtId="0" fontId="5" fillId="0" borderId="0" xfId="0" applyFont="1"/>
    <xf numFmtId="0" fontId="31" fillId="0" borderId="0" xfId="0" applyFont="1"/>
    <xf numFmtId="0" fontId="3" fillId="0" borderId="0" xfId="0" applyFont="1" applyAlignment="1">
      <alignment horizontal="left" vertical="center" wrapText="1" indent="12"/>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8" fontId="3" fillId="0" borderId="0" xfId="0" applyNumberFormat="1" applyFont="1"/>
    <xf numFmtId="2" fontId="1" fillId="0" borderId="0" xfId="0" applyNumberFormat="1" applyFont="1"/>
    <xf numFmtId="164" fontId="1" fillId="0" borderId="0" xfId="0" applyNumberFormat="1" applyFont="1"/>
    <xf numFmtId="0" fontId="3" fillId="0" borderId="0" xfId="0" applyFont="1"/>
    <xf numFmtId="2" fontId="3" fillId="0" borderId="1" xfId="0" applyNumberFormat="1" applyFont="1" applyBorder="1" applyAlignment="1">
      <alignment horizontal="center" vertical="center" wrapText="1"/>
    </xf>
    <xf numFmtId="167" fontId="3" fillId="0" borderId="1" xfId="2" applyNumberFormat="1" applyFont="1" applyBorder="1" applyAlignment="1">
      <alignment horizontal="center" vertical="center" wrapText="1"/>
    </xf>
    <xf numFmtId="1" fontId="3" fillId="0" borderId="1" xfId="0" applyNumberFormat="1" applyFont="1" applyBorder="1" applyAlignment="1">
      <alignment horizontal="center" vertical="center" wrapText="1"/>
    </xf>
    <xf numFmtId="168" fontId="1" fillId="0" borderId="1" xfId="3" applyNumberFormat="1" applyFont="1" applyBorder="1" applyAlignment="1">
      <alignment horizontal="center" vertical="center" wrapText="1"/>
    </xf>
    <xf numFmtId="167" fontId="1" fillId="4" borderId="1" xfId="2" applyNumberFormat="1" applyFont="1" applyFill="1" applyBorder="1" applyAlignment="1">
      <alignment horizontal="center" vertical="center" wrapText="1"/>
    </xf>
    <xf numFmtId="167" fontId="3" fillId="4" borderId="1" xfId="2" applyNumberFormat="1" applyFont="1" applyFill="1" applyBorder="1" applyAlignment="1">
      <alignment horizontal="center" vertical="center" wrapText="1"/>
    </xf>
    <xf numFmtId="167" fontId="3" fillId="0" borderId="1" xfId="2" applyNumberFormat="1" applyFont="1" applyFill="1" applyBorder="1" applyAlignment="1">
      <alignment horizontal="center" vertical="center" wrapText="1"/>
    </xf>
    <xf numFmtId="167" fontId="1" fillId="0" borderId="1" xfId="2" applyNumberFormat="1" applyFont="1" applyBorder="1" applyAlignment="1">
      <alignment horizontal="center" vertical="center" wrapText="1"/>
    </xf>
    <xf numFmtId="167" fontId="5" fillId="0" borderId="1" xfId="2" applyNumberFormat="1" applyFont="1" applyBorder="1" applyAlignment="1">
      <alignment horizontal="center" vertical="center" wrapText="1"/>
    </xf>
    <xf numFmtId="6" fontId="26" fillId="0" borderId="1" xfId="0" applyNumberFormat="1" applyFont="1" applyBorder="1" applyAlignment="1">
      <alignment vertical="center"/>
    </xf>
    <xf numFmtId="6" fontId="5" fillId="0" borderId="1" xfId="0" applyNumberFormat="1" applyFont="1" applyBorder="1" applyAlignment="1">
      <alignment vertical="center"/>
    </xf>
    <xf numFmtId="0" fontId="5" fillId="0" borderId="0" xfId="0" applyFont="1" applyAlignment="1">
      <alignment vertical="center" wrapText="1"/>
    </xf>
    <xf numFmtId="6" fontId="3" fillId="0" borderId="1" xfId="0" applyNumberFormat="1" applyFont="1" applyBorder="1" applyAlignment="1">
      <alignment vertical="center"/>
    </xf>
    <xf numFmtId="6" fontId="1" fillId="0" borderId="1" xfId="0" applyNumberFormat="1" applyFont="1" applyBorder="1" applyAlignment="1">
      <alignment vertical="center"/>
    </xf>
    <xf numFmtId="8" fontId="3" fillId="0" borderId="0" xfId="0" applyNumberFormat="1" applyFont="1" applyAlignment="1">
      <alignment vertical="center"/>
    </xf>
    <xf numFmtId="1" fontId="3" fillId="0" borderId="1" xfId="0" applyNumberFormat="1" applyFont="1" applyBorder="1" applyAlignment="1">
      <alignment vertical="center"/>
    </xf>
    <xf numFmtId="2" fontId="1" fillId="0" borderId="0" xfId="0" applyNumberFormat="1" applyFont="1" applyAlignment="1">
      <alignment vertical="center"/>
    </xf>
    <xf numFmtId="168" fontId="1" fillId="0" borderId="0" xfId="3" applyNumberFormat="1" applyFont="1" applyAlignment="1">
      <alignment vertical="center" wrapText="1"/>
    </xf>
    <xf numFmtId="167" fontId="1" fillId="4" borderId="0" xfId="2" applyNumberFormat="1" applyFont="1" applyFill="1" applyAlignment="1">
      <alignment vertical="center" wrapText="1"/>
    </xf>
    <xf numFmtId="167" fontId="16" fillId="0" borderId="0" xfId="2" applyNumberFormat="1" applyFont="1" applyAlignment="1">
      <alignment vertical="center"/>
    </xf>
    <xf numFmtId="168" fontId="16" fillId="0" borderId="0" xfId="3" applyNumberFormat="1" applyFont="1" applyAlignment="1">
      <alignment vertical="center"/>
    </xf>
    <xf numFmtId="167" fontId="1" fillId="0" borderId="0" xfId="2" applyNumberFormat="1" applyFont="1" applyAlignment="1">
      <alignment vertical="center" wrapText="1"/>
    </xf>
    <xf numFmtId="6" fontId="3" fillId="0" borderId="1" xfId="0" applyNumberFormat="1" applyFont="1" applyBorder="1" applyAlignment="1">
      <alignment horizontal="center" vertical="center" wrapText="1"/>
    </xf>
    <xf numFmtId="6" fontId="3" fillId="0" borderId="1" xfId="0" applyNumberFormat="1" applyFont="1" applyBorder="1" applyAlignment="1">
      <alignment horizontal="center" vertical="center"/>
    </xf>
    <xf numFmtId="1" fontId="1" fillId="0" borderId="1" xfId="0" applyNumberFormat="1" applyFont="1" applyBorder="1" applyAlignment="1">
      <alignment vertical="center"/>
    </xf>
    <xf numFmtId="166" fontId="3" fillId="0" borderId="11" xfId="0" applyNumberFormat="1" applyFont="1" applyBorder="1" applyAlignment="1">
      <alignment horizontal="center" vertical="center" wrapText="1"/>
    </xf>
    <xf numFmtId="0" fontId="1" fillId="0" borderId="0" xfId="0" applyFont="1" applyAlignment="1">
      <alignment horizontal="left"/>
    </xf>
    <xf numFmtId="0" fontId="2" fillId="0" borderId="2" xfId="0" applyFont="1" applyBorder="1" applyAlignment="1">
      <alignment horizontal="left" vertical="center" wrapText="1"/>
    </xf>
    <xf numFmtId="0" fontId="26" fillId="0" borderId="4" xfId="0" applyFont="1" applyBorder="1" applyAlignment="1">
      <alignment horizontal="left" vertical="center" wrapText="1"/>
    </xf>
    <xf numFmtId="0" fontId="1" fillId="0" borderId="0" xfId="0" applyFont="1" applyAlignment="1">
      <alignment horizontal="left" vertical="center"/>
    </xf>
    <xf numFmtId="0" fontId="3" fillId="0" borderId="2" xfId="0" applyFont="1" applyBorder="1" applyAlignment="1">
      <alignment horizontal="left" vertical="center" wrapText="1"/>
    </xf>
    <xf numFmtId="0" fontId="3" fillId="0" borderId="4" xfId="0" applyFont="1" applyBorder="1" applyAlignment="1">
      <alignment horizontal="left" vertical="center" wrapText="1"/>
    </xf>
    <xf numFmtId="0" fontId="3" fillId="0" borderId="6" xfId="0" applyFont="1" applyBorder="1" applyAlignment="1">
      <alignment horizontal="left" vertical="center" wrapText="1"/>
    </xf>
    <xf numFmtId="0" fontId="3" fillId="0" borderId="1" xfId="0" applyFont="1" applyBorder="1" applyAlignment="1">
      <alignment horizontal="left" vertical="center" wrapText="1"/>
    </xf>
    <xf numFmtId="0" fontId="1" fillId="0" borderId="4" xfId="0" applyFont="1" applyBorder="1" applyAlignment="1">
      <alignment horizontal="left" vertical="center" wrapText="1"/>
    </xf>
    <xf numFmtId="0" fontId="3" fillId="3" borderId="10" xfId="0" applyFont="1" applyFill="1" applyBorder="1" applyAlignment="1">
      <alignment horizontal="left" vertical="center" wrapText="1"/>
    </xf>
    <xf numFmtId="0" fontId="3" fillId="0" borderId="0" xfId="0" applyFont="1" applyAlignment="1">
      <alignment horizontal="left" vertical="center" wrapText="1"/>
    </xf>
    <xf numFmtId="0" fontId="2" fillId="0" borderId="1" xfId="0" applyFont="1" applyBorder="1" applyAlignment="1">
      <alignment horizontal="left" vertical="center" wrapText="1"/>
    </xf>
    <xf numFmtId="168" fontId="1" fillId="0" borderId="1" xfId="3" applyNumberFormat="1" applyFont="1" applyBorder="1" applyAlignment="1">
      <alignment horizontal="left" vertical="center" wrapText="1"/>
    </xf>
    <xf numFmtId="168" fontId="3" fillId="4" borderId="1" xfId="3" applyNumberFormat="1" applyFont="1" applyFill="1" applyBorder="1" applyAlignment="1">
      <alignment horizontal="left" vertical="center" wrapText="1"/>
    </xf>
    <xf numFmtId="167" fontId="3" fillId="4" borderId="1" xfId="2" applyNumberFormat="1" applyFont="1" applyFill="1" applyBorder="1" applyAlignment="1">
      <alignment horizontal="left" vertical="center" wrapText="1"/>
    </xf>
    <xf numFmtId="0" fontId="3" fillId="4" borderId="1" xfId="2" applyNumberFormat="1" applyFont="1" applyFill="1" applyBorder="1" applyAlignment="1">
      <alignment horizontal="left" vertical="center" wrapText="1"/>
    </xf>
    <xf numFmtId="168" fontId="3" fillId="0" borderId="1" xfId="3" applyNumberFormat="1" applyFont="1" applyBorder="1" applyAlignment="1">
      <alignment horizontal="left" vertical="center" wrapText="1"/>
    </xf>
    <xf numFmtId="167" fontId="3" fillId="0" borderId="1" xfId="2" applyNumberFormat="1" applyFont="1" applyBorder="1" applyAlignment="1">
      <alignment horizontal="left" vertical="center" wrapText="1"/>
    </xf>
    <xf numFmtId="0" fontId="1" fillId="0" borderId="0" xfId="0" applyFont="1" applyAlignment="1">
      <alignment horizontal="left" wrapText="1"/>
    </xf>
    <xf numFmtId="0" fontId="2" fillId="0" borderId="4" xfId="0" applyFont="1" applyBorder="1" applyAlignment="1">
      <alignment vertical="center" wrapText="1"/>
    </xf>
    <xf numFmtId="0" fontId="5" fillId="0" borderId="3" xfId="0" applyFont="1" applyBorder="1" applyAlignment="1">
      <alignment horizontal="left" vertical="center" wrapText="1"/>
    </xf>
    <xf numFmtId="0" fontId="1" fillId="0" borderId="1" xfId="0" applyFont="1" applyBorder="1" applyAlignment="1">
      <alignment horizontal="left" vertical="center" wrapText="1"/>
    </xf>
    <xf numFmtId="0" fontId="1" fillId="0" borderId="3" xfId="0" applyFont="1" applyBorder="1" applyAlignment="1">
      <alignment horizontal="left" vertical="center" wrapText="1"/>
    </xf>
    <xf numFmtId="0" fontId="1" fillId="4" borderId="3" xfId="0" applyFont="1" applyFill="1" applyBorder="1" applyAlignment="1">
      <alignment horizontal="left" vertical="center" wrapText="1"/>
    </xf>
    <xf numFmtId="0" fontId="1" fillId="0" borderId="0" xfId="0" applyFont="1" applyAlignment="1">
      <alignment horizontal="left" vertical="center" wrapText="1"/>
    </xf>
    <xf numFmtId="167" fontId="1" fillId="4" borderId="1" xfId="2" applyNumberFormat="1" applyFont="1" applyFill="1" applyBorder="1" applyAlignment="1">
      <alignment horizontal="left" vertical="center" wrapText="1"/>
    </xf>
    <xf numFmtId="167" fontId="1" fillId="0" borderId="1" xfId="2" applyNumberFormat="1" applyFont="1" applyBorder="1" applyAlignment="1">
      <alignment horizontal="left" vertical="center" wrapText="1"/>
    </xf>
    <xf numFmtId="0" fontId="2" fillId="0" borderId="1" xfId="0" applyFont="1" applyBorder="1" applyAlignment="1">
      <alignment horizontal="left" vertical="center"/>
    </xf>
    <xf numFmtId="0" fontId="1" fillId="0" borderId="1" xfId="0" applyFont="1" applyBorder="1" applyAlignment="1">
      <alignment horizontal="left" vertical="center"/>
    </xf>
    <xf numFmtId="0" fontId="5" fillId="0" borderId="1" xfId="0" applyFont="1" applyBorder="1" applyAlignment="1">
      <alignment horizontal="left" vertical="center" wrapText="1"/>
    </xf>
    <xf numFmtId="1" fontId="1" fillId="0" borderId="1" xfId="0" applyNumberFormat="1" applyFont="1" applyBorder="1" applyAlignment="1">
      <alignment horizontal="left" vertical="center" wrapText="1"/>
    </xf>
    <xf numFmtId="49" fontId="1" fillId="0" borderId="1" xfId="0" applyNumberFormat="1" applyFont="1" applyBorder="1" applyAlignment="1">
      <alignment horizontal="left" vertical="center" wrapText="1"/>
    </xf>
    <xf numFmtId="0" fontId="1" fillId="0" borderId="1" xfId="0" applyFont="1" applyBorder="1" applyAlignment="1">
      <alignment horizontal="right" vertical="center" wrapText="1"/>
    </xf>
    <xf numFmtId="1" fontId="1" fillId="0" borderId="1" xfId="0" applyNumberFormat="1" applyFont="1" applyBorder="1" applyAlignment="1">
      <alignment horizontal="right" vertical="center" wrapText="1"/>
    </xf>
    <xf numFmtId="0" fontId="19" fillId="0" borderId="1" xfId="0" applyFont="1" applyBorder="1" applyAlignment="1">
      <alignment vertical="center" wrapText="1"/>
    </xf>
    <xf numFmtId="0" fontId="23" fillId="0" borderId="1" xfId="0" applyFont="1" applyBorder="1" applyAlignment="1">
      <alignment vertical="center" wrapText="1"/>
    </xf>
    <xf numFmtId="166" fontId="23" fillId="0" borderId="1" xfId="3" applyNumberFormat="1" applyFont="1" applyFill="1" applyBorder="1" applyAlignment="1">
      <alignment vertical="center" wrapText="1"/>
    </xf>
    <xf numFmtId="166" fontId="23" fillId="0" borderId="1" xfId="0" applyNumberFormat="1" applyFont="1" applyBorder="1" applyAlignment="1">
      <alignment vertical="center" wrapText="1"/>
    </xf>
    <xf numFmtId="166" fontId="23" fillId="0" borderId="1" xfId="2" applyNumberFormat="1" applyFont="1" applyFill="1" applyBorder="1" applyAlignment="1">
      <alignment vertical="center" wrapText="1"/>
    </xf>
    <xf numFmtId="0" fontId="0" fillId="0" borderId="0" xfId="0" applyAlignment="1">
      <alignment vertical="center" wrapText="1"/>
    </xf>
    <xf numFmtId="165" fontId="1" fillId="0" borderId="1" xfId="0" applyNumberFormat="1" applyFont="1" applyBorder="1" applyAlignment="1">
      <alignment vertical="center"/>
    </xf>
    <xf numFmtId="170" fontId="3" fillId="0" borderId="4" xfId="2" applyNumberFormat="1" applyFont="1" applyBorder="1" applyAlignment="1">
      <alignment vertical="center" wrapText="1"/>
    </xf>
    <xf numFmtId="170" fontId="3" fillId="0" borderId="1" xfId="2" applyNumberFormat="1" applyFont="1" applyBorder="1" applyAlignment="1">
      <alignment vertical="center"/>
    </xf>
    <xf numFmtId="43" fontId="3" fillId="4" borderId="1" xfId="2" applyFont="1" applyFill="1" applyBorder="1" applyAlignment="1">
      <alignment horizontal="center" vertical="center" wrapText="1"/>
    </xf>
    <xf numFmtId="43" fontId="3" fillId="0" borderId="1" xfId="2" applyFont="1" applyBorder="1" applyAlignment="1">
      <alignment horizontal="center" vertical="center" wrapText="1"/>
    </xf>
    <xf numFmtId="43" fontId="3" fillId="0" borderId="1" xfId="2" applyFont="1" applyFill="1" applyBorder="1" applyAlignment="1">
      <alignment horizontal="center" vertical="center" wrapText="1"/>
    </xf>
    <xf numFmtId="1" fontId="3" fillId="0" borderId="1" xfId="2" applyNumberFormat="1" applyFont="1" applyBorder="1" applyAlignment="1">
      <alignment horizontal="center" vertical="center" wrapText="1"/>
    </xf>
    <xf numFmtId="170" fontId="3" fillId="0" borderId="1" xfId="2" applyNumberFormat="1" applyFont="1" applyBorder="1" applyAlignment="1">
      <alignment vertical="center" wrapText="1"/>
    </xf>
    <xf numFmtId="167" fontId="21" fillId="0" borderId="4" xfId="2" applyNumberFormat="1" applyFont="1" applyBorder="1" applyAlignment="1">
      <alignment vertical="center" wrapText="1"/>
    </xf>
    <xf numFmtId="167" fontId="3" fillId="3" borderId="1" xfId="2" applyNumberFormat="1" applyFont="1" applyFill="1" applyBorder="1" applyAlignment="1">
      <alignment vertical="center" wrapText="1"/>
    </xf>
    <xf numFmtId="167" fontId="3" fillId="0" borderId="4" xfId="2" applyNumberFormat="1" applyFont="1" applyBorder="1" applyAlignment="1">
      <alignment vertical="center" wrapText="1"/>
    </xf>
    <xf numFmtId="167" fontId="1" fillId="0" borderId="1" xfId="2" applyNumberFormat="1" applyFont="1" applyBorder="1" applyAlignment="1">
      <alignment vertical="center"/>
    </xf>
    <xf numFmtId="2" fontId="1" fillId="0" borderId="1" xfId="0" applyNumberFormat="1" applyFont="1" applyBorder="1" applyAlignment="1">
      <alignment vertical="center" wrapText="1"/>
    </xf>
    <xf numFmtId="2" fontId="3" fillId="0" borderId="1" xfId="0" applyNumberFormat="1" applyFont="1" applyBorder="1" applyAlignment="1">
      <alignment vertical="center" wrapText="1"/>
    </xf>
    <xf numFmtId="166" fontId="21" fillId="0" borderId="1" xfId="3" applyNumberFormat="1" applyFont="1" applyFill="1" applyBorder="1" applyAlignment="1">
      <alignment vertical="center" wrapText="1"/>
    </xf>
    <xf numFmtId="166" fontId="21" fillId="0" borderId="1" xfId="0" applyNumberFormat="1" applyFont="1" applyBorder="1" applyAlignment="1">
      <alignment vertical="center" wrapText="1"/>
    </xf>
    <xf numFmtId="166" fontId="21" fillId="0" borderId="1" xfId="3" applyNumberFormat="1" applyFont="1" applyBorder="1" applyAlignment="1">
      <alignment vertical="center" wrapText="1"/>
    </xf>
    <xf numFmtId="165" fontId="21" fillId="0" borderId="1" xfId="0" applyNumberFormat="1" applyFont="1" applyBorder="1" applyAlignment="1">
      <alignment vertical="center" wrapText="1"/>
    </xf>
    <xf numFmtId="168" fontId="21" fillId="0" borderId="1" xfId="3" applyNumberFormat="1" applyFont="1" applyFill="1" applyBorder="1" applyAlignment="1">
      <alignment vertical="center" wrapText="1"/>
    </xf>
    <xf numFmtId="168" fontId="21" fillId="0" borderId="1" xfId="0" applyNumberFormat="1" applyFont="1" applyBorder="1" applyAlignment="1">
      <alignment vertical="center" wrapText="1"/>
    </xf>
    <xf numFmtId="167" fontId="21" fillId="0" borderId="1" xfId="2" applyNumberFormat="1" applyFont="1" applyBorder="1" applyAlignment="1">
      <alignment vertical="center" wrapText="1"/>
    </xf>
    <xf numFmtId="0" fontId="3" fillId="3" borderId="0" xfId="0" applyFont="1" applyFill="1" applyAlignment="1">
      <alignment horizontal="left" vertical="center" wrapText="1"/>
    </xf>
    <xf numFmtId="0" fontId="3" fillId="3" borderId="0" xfId="0" applyFont="1" applyFill="1" applyAlignment="1">
      <alignment vertical="center" wrapText="1"/>
    </xf>
    <xf numFmtId="170" fontId="21" fillId="0" borderId="1" xfId="2" applyNumberFormat="1" applyFont="1" applyFill="1" applyBorder="1" applyAlignment="1">
      <alignment vertical="center" wrapText="1"/>
    </xf>
    <xf numFmtId="170" fontId="21" fillId="0" borderId="1" xfId="0" applyNumberFormat="1" applyFont="1" applyBorder="1" applyAlignment="1">
      <alignment vertical="center" wrapText="1"/>
    </xf>
    <xf numFmtId="0" fontId="3" fillId="3" borderId="2" xfId="0" applyFont="1" applyFill="1" applyBorder="1" applyAlignment="1">
      <alignment vertical="center" wrapText="1"/>
    </xf>
    <xf numFmtId="5" fontId="3" fillId="0" borderId="1" xfId="3" applyNumberFormat="1" applyFont="1" applyFill="1" applyBorder="1" applyAlignment="1">
      <alignment vertical="center" wrapText="1"/>
    </xf>
    <xf numFmtId="5" fontId="3" fillId="0" borderId="1" xfId="0" applyNumberFormat="1" applyFont="1" applyBorder="1" applyAlignment="1">
      <alignment vertical="center" wrapText="1"/>
    </xf>
    <xf numFmtId="5" fontId="3" fillId="0" borderId="2" xfId="0" applyNumberFormat="1" applyFont="1" applyBorder="1" applyAlignment="1">
      <alignment vertical="center" wrapText="1"/>
    </xf>
    <xf numFmtId="0" fontId="29" fillId="0" borderId="1" xfId="0" applyFont="1" applyBorder="1" applyAlignment="1">
      <alignment vertical="center" wrapText="1"/>
    </xf>
    <xf numFmtId="0" fontId="8" fillId="0" borderId="1" xfId="0" applyFont="1" applyBorder="1" applyAlignment="1">
      <alignment horizontal="center" vertical="center" wrapText="1"/>
    </xf>
    <xf numFmtId="164" fontId="1" fillId="0" borderId="1" xfId="0" applyNumberFormat="1" applyFont="1" applyBorder="1" applyAlignment="1">
      <alignment vertical="center" wrapText="1"/>
    </xf>
    <xf numFmtId="169" fontId="3" fillId="0" borderId="1" xfId="0" applyNumberFormat="1" applyFont="1" applyBorder="1" applyAlignment="1">
      <alignment vertical="center" wrapText="1"/>
    </xf>
    <xf numFmtId="0" fontId="21" fillId="0" borderId="1" xfId="0" applyFont="1" applyBorder="1" applyAlignment="1">
      <alignment horizontal="left" vertical="center" wrapText="1"/>
    </xf>
    <xf numFmtId="0" fontId="21" fillId="0" borderId="5" xfId="0" applyFont="1" applyBorder="1" applyAlignment="1">
      <alignment horizontal="left" vertical="center" wrapText="1"/>
    </xf>
    <xf numFmtId="166" fontId="3" fillId="0" borderId="4" xfId="3" applyNumberFormat="1" applyFont="1" applyFill="1" applyBorder="1" applyAlignment="1">
      <alignment vertical="center" wrapText="1"/>
    </xf>
    <xf numFmtId="166" fontId="3" fillId="0" borderId="4" xfId="3" applyNumberFormat="1" applyFont="1" applyBorder="1" applyAlignment="1">
      <alignment vertical="center" wrapText="1"/>
    </xf>
    <xf numFmtId="166" fontId="3" fillId="0" borderId="1" xfId="3" applyNumberFormat="1" applyFont="1" applyFill="1" applyBorder="1" applyAlignment="1">
      <alignment vertical="center" wrapText="1"/>
    </xf>
    <xf numFmtId="166" fontId="3" fillId="0" borderId="1" xfId="3" applyNumberFormat="1" applyFont="1" applyBorder="1" applyAlignment="1">
      <alignment vertical="center" wrapText="1"/>
    </xf>
    <xf numFmtId="165" fontId="3" fillId="0" borderId="1" xfId="3" applyNumberFormat="1" applyFont="1" applyBorder="1" applyAlignment="1">
      <alignment vertical="center" wrapText="1"/>
    </xf>
    <xf numFmtId="0" fontId="1" fillId="0" borderId="1" xfId="0" applyFont="1" applyBorder="1" applyAlignment="1">
      <alignment vertical="center"/>
    </xf>
    <xf numFmtId="0" fontId="1" fillId="0" borderId="1" xfId="0" applyFont="1" applyBorder="1" applyAlignment="1">
      <alignment horizontal="center" vertical="center" wrapText="1"/>
    </xf>
    <xf numFmtId="0" fontId="3" fillId="0" borderId="1" xfId="0" applyFont="1" applyBorder="1" applyAlignment="1">
      <alignment horizontal="center" vertical="center" wrapText="1"/>
    </xf>
    <xf numFmtId="0" fontId="8" fillId="0" borderId="5" xfId="0" applyFont="1" applyBorder="1" applyAlignment="1">
      <alignment horizontal="center" wrapText="1"/>
    </xf>
    <xf numFmtId="0" fontId="8" fillId="0" borderId="2" xfId="0" applyFont="1" applyBorder="1" applyAlignment="1">
      <alignment horizontal="center" wrapText="1"/>
    </xf>
    <xf numFmtId="0" fontId="1" fillId="0" borderId="1" xfId="0" applyFont="1" applyBorder="1" applyAlignment="1">
      <alignment horizontal="center"/>
    </xf>
    <xf numFmtId="0" fontId="1" fillId="0" borderId="7"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5" xfId="0" applyFont="1" applyBorder="1" applyAlignment="1">
      <alignment horizontal="left" vertical="top" wrapText="1"/>
    </xf>
    <xf numFmtId="0" fontId="1" fillId="0" borderId="2" xfId="0" applyFont="1" applyBorder="1" applyAlignment="1">
      <alignment horizontal="left" vertical="top" wrapText="1"/>
    </xf>
    <xf numFmtId="0" fontId="1" fillId="0" borderId="6" xfId="0" applyFont="1" applyBorder="1" applyAlignment="1">
      <alignment horizontal="left" vertical="top" wrapText="1"/>
    </xf>
    <xf numFmtId="0" fontId="1" fillId="0" borderId="5" xfId="0" applyFont="1" applyBorder="1" applyAlignment="1">
      <alignment horizontal="left" vertical="top"/>
    </xf>
    <xf numFmtId="0" fontId="1" fillId="0" borderId="6" xfId="0" applyFont="1" applyBorder="1" applyAlignment="1">
      <alignment horizontal="left" vertical="top"/>
    </xf>
    <xf numFmtId="0" fontId="1" fillId="0" borderId="2" xfId="0" applyFont="1" applyBorder="1" applyAlignment="1">
      <alignment horizontal="left" vertical="top"/>
    </xf>
    <xf numFmtId="0" fontId="21" fillId="0" borderId="0" xfId="1" applyFont="1" applyAlignment="1">
      <alignment horizontal="left" vertical="top" wrapText="1"/>
    </xf>
    <xf numFmtId="0" fontId="1" fillId="0" borderId="0" xfId="0" applyFont="1" applyAlignment="1">
      <alignment horizontal="left" vertical="top" wrapText="1"/>
    </xf>
    <xf numFmtId="0" fontId="21" fillId="0" borderId="5" xfId="0" applyFont="1" applyBorder="1" applyAlignment="1">
      <alignment horizontal="center" vertical="center" wrapText="1"/>
    </xf>
    <xf numFmtId="0" fontId="21" fillId="0" borderId="7" xfId="0" applyFont="1" applyBorder="1" applyAlignment="1">
      <alignment horizontal="left" vertical="top" wrapText="1"/>
    </xf>
    <xf numFmtId="0" fontId="1" fillId="0" borderId="1" xfId="0" applyFont="1" applyBorder="1" applyAlignment="1">
      <alignment horizontal="center" vertical="center" wrapText="1"/>
    </xf>
    <xf numFmtId="0" fontId="3" fillId="0" borderId="1" xfId="0" applyFont="1" applyBorder="1" applyAlignment="1">
      <alignment horizontal="center" vertical="center" wrapText="1"/>
    </xf>
    <xf numFmtId="166" fontId="3" fillId="0" borderId="5" xfId="0" applyNumberFormat="1" applyFont="1" applyBorder="1" applyAlignment="1">
      <alignment horizontal="center" vertical="center" wrapText="1"/>
    </xf>
    <xf numFmtId="166" fontId="3" fillId="0" borderId="6" xfId="0" applyNumberFormat="1" applyFont="1" applyBorder="1" applyAlignment="1">
      <alignment horizontal="center" vertical="center" wrapText="1"/>
    </xf>
    <xf numFmtId="166" fontId="3" fillId="0" borderId="2" xfId="0" applyNumberFormat="1" applyFont="1" applyBorder="1" applyAlignment="1">
      <alignment horizontal="center" vertical="center" wrapText="1"/>
    </xf>
    <xf numFmtId="5" fontId="3" fillId="0" borderId="5" xfId="3" applyNumberFormat="1" applyFont="1" applyFill="1" applyBorder="1" applyAlignment="1">
      <alignment horizontal="center" vertical="center" wrapText="1"/>
    </xf>
    <xf numFmtId="5" fontId="3" fillId="0" borderId="6" xfId="3" applyNumberFormat="1" applyFont="1" applyFill="1" applyBorder="1" applyAlignment="1">
      <alignment horizontal="center" vertical="center" wrapText="1"/>
    </xf>
    <xf numFmtId="5" fontId="3" fillId="0" borderId="2" xfId="3" applyNumberFormat="1" applyFont="1" applyFill="1" applyBorder="1" applyAlignment="1">
      <alignment horizontal="center" vertical="center" wrapText="1"/>
    </xf>
    <xf numFmtId="0" fontId="3" fillId="0" borderId="7" xfId="0" applyFont="1" applyBorder="1" applyAlignment="1">
      <alignment horizontal="center" vertical="center" wrapText="1"/>
    </xf>
  </cellXfs>
  <cellStyles count="4">
    <cellStyle name="Comma" xfId="2" builtinId="3"/>
    <cellStyle name="Currency" xfId="3" builtinId="4"/>
    <cellStyle name="Hyperlink" xfId="1" builtinId="8"/>
    <cellStyle name="Normal" xfId="0" builtinId="0"/>
  </cellStyles>
  <dxfs count="4">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s>
  <tableStyles count="1" defaultTableStyle="TableStyleMedium2" defaultPivotStyle="PivotStyleLight16">
    <tableStyle name="Invisible" pivot="0" table="0" count="0" xr9:uid="{866FFBC1-4B82-4876-B67F-287DBB310B8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PG&amp;E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v>Mains and Services Replacement</c:v>
          </c:tx>
          <c:spPr>
            <a:solidFill>
              <a:schemeClr val="accent1"/>
            </a:solidFill>
            <a:ln>
              <a:noFill/>
            </a:ln>
            <a:effectLst/>
          </c:spPr>
          <c:invertIfNegative val="0"/>
          <c:cat>
            <c:strRef>
              <c:f>'PGnE Costs Data'!$F$5:$W$5</c:f>
              <c:strCache>
                <c:ptCount val="18"/>
                <c:pt idx="0">
                  <c:v>Central Coast</c:v>
                </c:pt>
                <c:pt idx="1">
                  <c:v>De Anza</c:v>
                </c:pt>
                <c:pt idx="2">
                  <c:v>Diablo</c:v>
                </c:pt>
                <c:pt idx="3">
                  <c:v>Fresno</c:v>
                </c:pt>
                <c:pt idx="4">
                  <c:v>Humboldt</c:v>
                </c:pt>
                <c:pt idx="5">
                  <c:v>Kern</c:v>
                </c:pt>
                <c:pt idx="6">
                  <c:v>Mission</c:v>
                </c:pt>
                <c:pt idx="7">
                  <c:v>North Bay</c:v>
                </c:pt>
                <c:pt idx="8">
                  <c:v>North Valley</c:v>
                </c:pt>
                <c:pt idx="9">
                  <c:v>Peninsula</c:v>
                </c:pt>
                <c:pt idx="10">
                  <c:v>Sacramento</c:v>
                </c:pt>
                <c:pt idx="11">
                  <c:v>San Jose</c:v>
                </c:pt>
                <c:pt idx="12">
                  <c:v>Sierra</c:v>
                </c:pt>
                <c:pt idx="13">
                  <c:v>Sonoma</c:v>
                </c:pt>
                <c:pt idx="14">
                  <c:v>Stockton</c:v>
                </c:pt>
                <c:pt idx="15">
                  <c:v>Yosemite</c:v>
                </c:pt>
                <c:pt idx="16">
                  <c:v>East Bay</c:v>
                </c:pt>
                <c:pt idx="17">
                  <c:v>San Francisco</c:v>
                </c:pt>
              </c:strCache>
            </c:strRef>
          </c:cat>
          <c:val>
            <c:numRef>
              <c:f>'PGnE Costs Data'!$F$7:$W$7</c:f>
              <c:numCache>
                <c:formatCode>"$"#,##0</c:formatCode>
                <c:ptCount val="18"/>
                <c:pt idx="0">
                  <c:v>49139.23338748984</c:v>
                </c:pt>
                <c:pt idx="1">
                  <c:v>56676.055406162472</c:v>
                </c:pt>
                <c:pt idx="2">
                  <c:v>34769.861901012373</c:v>
                </c:pt>
                <c:pt idx="3">
                  <c:v>34285.782144019526</c:v>
                </c:pt>
                <c:pt idx="4">
                  <c:v>31640.982225332402</c:v>
                </c:pt>
                <c:pt idx="5">
                  <c:v>32310.740785498492</c:v>
                </c:pt>
                <c:pt idx="6">
                  <c:v>35345.99566881721</c:v>
                </c:pt>
                <c:pt idx="7">
                  <c:v>53245.796215344941</c:v>
                </c:pt>
                <c:pt idx="8">
                  <c:v>31882.803942672745</c:v>
                </c:pt>
                <c:pt idx="9">
                  <c:v>36254.437546829155</c:v>
                </c:pt>
                <c:pt idx="10">
                  <c:v>29669.325025996543</c:v>
                </c:pt>
                <c:pt idx="11">
                  <c:v>30504.599869721467</c:v>
                </c:pt>
                <c:pt idx="12">
                  <c:v>34738.244786771109</c:v>
                </c:pt>
                <c:pt idx="13">
                  <c:v>38612.953677092126</c:v>
                </c:pt>
                <c:pt idx="14">
                  <c:v>33203.61103594552</c:v>
                </c:pt>
                <c:pt idx="15">
                  <c:v>27127.244957862655</c:v>
                </c:pt>
                <c:pt idx="16">
                  <c:v>37347.006679092381</c:v>
                </c:pt>
                <c:pt idx="17">
                  <c:v>35668.824147322237</c:v>
                </c:pt>
              </c:numCache>
            </c:numRef>
          </c:val>
          <c:extLst>
            <c:ext xmlns:c16="http://schemas.microsoft.com/office/drawing/2014/chart" uri="{C3380CC4-5D6E-409C-BE32-E72D297353CC}">
              <c16:uniqueId val="{00000000-2AB4-4B41-8A65-C041326B2C56}"/>
            </c:ext>
          </c:extLst>
        </c:ser>
        <c:ser>
          <c:idx val="1"/>
          <c:order val="1"/>
          <c:tx>
            <c:v>Service-Only Replacement</c:v>
          </c:tx>
          <c:spPr>
            <a:solidFill>
              <a:schemeClr val="accent2"/>
            </a:solidFill>
            <a:ln>
              <a:noFill/>
            </a:ln>
            <a:effectLst/>
          </c:spPr>
          <c:invertIfNegative val="0"/>
          <c:cat>
            <c:strRef>
              <c:f>'PGnE Costs Data'!$F$5:$W$5</c:f>
              <c:strCache>
                <c:ptCount val="18"/>
                <c:pt idx="0">
                  <c:v>Central Coast</c:v>
                </c:pt>
                <c:pt idx="1">
                  <c:v>De Anza</c:v>
                </c:pt>
                <c:pt idx="2">
                  <c:v>Diablo</c:v>
                </c:pt>
                <c:pt idx="3">
                  <c:v>Fresno</c:v>
                </c:pt>
                <c:pt idx="4">
                  <c:v>Humboldt</c:v>
                </c:pt>
                <c:pt idx="5">
                  <c:v>Kern</c:v>
                </c:pt>
                <c:pt idx="6">
                  <c:v>Mission</c:v>
                </c:pt>
                <c:pt idx="7">
                  <c:v>North Bay</c:v>
                </c:pt>
                <c:pt idx="8">
                  <c:v>North Valley</c:v>
                </c:pt>
                <c:pt idx="9">
                  <c:v>Peninsula</c:v>
                </c:pt>
                <c:pt idx="10">
                  <c:v>Sacramento</c:v>
                </c:pt>
                <c:pt idx="11">
                  <c:v>San Jose</c:v>
                </c:pt>
                <c:pt idx="12">
                  <c:v>Sierra</c:v>
                </c:pt>
                <c:pt idx="13">
                  <c:v>Sonoma</c:v>
                </c:pt>
                <c:pt idx="14">
                  <c:v>Stockton</c:v>
                </c:pt>
                <c:pt idx="15">
                  <c:v>Yosemite</c:v>
                </c:pt>
                <c:pt idx="16">
                  <c:v>East Bay</c:v>
                </c:pt>
                <c:pt idx="17">
                  <c:v>San Francisco</c:v>
                </c:pt>
              </c:strCache>
            </c:strRef>
          </c:cat>
          <c:val>
            <c:numRef>
              <c:f>'PGnE Costs Data'!$F$6:$W$6</c:f>
              <c:numCache>
                <c:formatCode>"$"#,##0</c:formatCode>
                <c:ptCount val="18"/>
                <c:pt idx="0">
                  <c:v>28973.276558441557</c:v>
                </c:pt>
                <c:pt idx="1">
                  <c:v>38259.201904761903</c:v>
                </c:pt>
                <c:pt idx="2">
                  <c:v>43801.234225352113</c:v>
                </c:pt>
                <c:pt idx="3">
                  <c:v>24863.026807511738</c:v>
                </c:pt>
                <c:pt idx="4">
                  <c:v>28591.119340659337</c:v>
                </c:pt>
                <c:pt idx="5">
                  <c:v>15327.19576923077</c:v>
                </c:pt>
                <c:pt idx="6">
                  <c:v>39665.223484848488</c:v>
                </c:pt>
                <c:pt idx="7">
                  <c:v>52893.430892857148</c:v>
                </c:pt>
                <c:pt idx="8">
                  <c:v>28063.328481012661</c:v>
                </c:pt>
                <c:pt idx="9">
                  <c:v>30456.711458333335</c:v>
                </c:pt>
                <c:pt idx="10">
                  <c:v>28405.227085427137</c:v>
                </c:pt>
                <c:pt idx="11">
                  <c:v>25864.9269375</c:v>
                </c:pt>
                <c:pt idx="12">
                  <c:v>29681.339846153849</c:v>
                </c:pt>
                <c:pt idx="13">
                  <c:v>41482.185895316805</c:v>
                </c:pt>
                <c:pt idx="14">
                  <c:v>32598.461052631581</c:v>
                </c:pt>
                <c:pt idx="15">
                  <c:v>20966.541780821917</c:v>
                </c:pt>
                <c:pt idx="16">
                  <c:v>49167.758156862743</c:v>
                </c:pt>
                <c:pt idx="17">
                  <c:v>39464.548560606061</c:v>
                </c:pt>
              </c:numCache>
            </c:numRef>
          </c:val>
          <c:extLst>
            <c:ext xmlns:c16="http://schemas.microsoft.com/office/drawing/2014/chart" uri="{C3380CC4-5D6E-409C-BE32-E72D297353CC}">
              <c16:uniqueId val="{00000001-2AB4-4B41-8A65-C041326B2C56}"/>
            </c:ext>
          </c:extLst>
        </c:ser>
        <c:dLbls>
          <c:showLegendKey val="0"/>
          <c:showVal val="0"/>
          <c:showCatName val="0"/>
          <c:showSerName val="0"/>
          <c:showPercent val="0"/>
          <c:showBubbleSize val="0"/>
        </c:dLbls>
        <c:gapWidth val="219"/>
        <c:overlap val="-27"/>
        <c:axId val="977896815"/>
        <c:axId val="977897295"/>
      </c:barChart>
      <c:catAx>
        <c:axId val="97789681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77897295"/>
        <c:crosses val="autoZero"/>
        <c:auto val="1"/>
        <c:lblAlgn val="ctr"/>
        <c:lblOffset val="100"/>
        <c:noMultiLvlLbl val="0"/>
      </c:catAx>
      <c:valAx>
        <c:axId val="977897295"/>
        <c:scaling>
          <c:orientation val="minMax"/>
          <c:max val="60000"/>
        </c:scaling>
        <c:delete val="0"/>
        <c:axPos val="l"/>
        <c:majorGridlines>
          <c:spPr>
            <a:ln w="9525" cap="flat" cmpd="sng" algn="ctr">
              <a:solidFill>
                <a:schemeClr val="tx1">
                  <a:lumMod val="15000"/>
                  <a:lumOff val="85000"/>
                </a:schemeClr>
              </a:solidFill>
              <a:round/>
            </a:ln>
            <a:effectLst/>
          </c:spPr>
        </c:majorGridlines>
        <c:numFmt formatCode="&quot;$&quot;#,##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7789681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SoCalGas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v>Mains and Services Replacement</c:v>
          </c:tx>
          <c:spPr>
            <a:solidFill>
              <a:schemeClr val="accent1"/>
            </a:solidFill>
            <a:ln>
              <a:noFill/>
            </a:ln>
            <a:effectLst/>
          </c:spPr>
          <c:invertIfNegative val="0"/>
          <c:cat>
            <c:strRef>
              <c:f>'SoCalGas Costs Data'!$F$5:$AZ$5</c:f>
              <c:strCache>
                <c:ptCount val="47"/>
                <c:pt idx="0">
                  <c:v>182nd Street</c:v>
                </c:pt>
                <c:pt idx="1">
                  <c:v>Alhambra</c:v>
                </c:pt>
                <c:pt idx="2">
                  <c:v>Aliso Viejo</c:v>
                </c:pt>
                <c:pt idx="3">
                  <c:v>Anaheim</c:v>
                </c:pt>
                <c:pt idx="4">
                  <c:v>Azusa</c:v>
                </c:pt>
                <c:pt idx="5">
                  <c:v>Bakersfield</c:v>
                </c:pt>
                <c:pt idx="6">
                  <c:v>Beaumont</c:v>
                </c:pt>
                <c:pt idx="7">
                  <c:v>Belvedere</c:v>
                </c:pt>
                <c:pt idx="8">
                  <c:v>Branford</c:v>
                </c:pt>
                <c:pt idx="9">
                  <c:v>Canoga Park</c:v>
                </c:pt>
                <c:pt idx="10">
                  <c:v>Chino</c:v>
                </c:pt>
                <c:pt idx="11">
                  <c:v>Compton</c:v>
                </c:pt>
                <c:pt idx="12">
                  <c:v>Corona</c:v>
                </c:pt>
                <c:pt idx="13">
                  <c:v>Crenshaw</c:v>
                </c:pt>
                <c:pt idx="14">
                  <c:v>El Centro</c:v>
                </c:pt>
                <c:pt idx="15">
                  <c:v>Fontana</c:v>
                </c:pt>
                <c:pt idx="16">
                  <c:v>Garden Grove</c:v>
                </c:pt>
                <c:pt idx="17">
                  <c:v>Glendale</c:v>
                </c:pt>
                <c:pt idx="18">
                  <c:v>Hollywood</c:v>
                </c:pt>
                <c:pt idx="19">
                  <c:v>Huntington Park</c:v>
                </c:pt>
                <c:pt idx="20">
                  <c:v>Industry</c:v>
                </c:pt>
                <c:pt idx="21">
                  <c:v>Juanita</c:v>
                </c:pt>
                <c:pt idx="22">
                  <c:v>La Jolla</c:v>
                </c:pt>
                <c:pt idx="23">
                  <c:v>Lancaster</c:v>
                </c:pt>
                <c:pt idx="24">
                  <c:v>Murrieta</c:v>
                </c:pt>
                <c:pt idx="25">
                  <c:v>Oxnard</c:v>
                </c:pt>
                <c:pt idx="26">
                  <c:v>Palm Desert</c:v>
                </c:pt>
                <c:pt idx="27">
                  <c:v>Pasadena</c:v>
                </c:pt>
                <c:pt idx="28">
                  <c:v>Porterville</c:v>
                </c:pt>
                <c:pt idx="29">
                  <c:v>Ramona</c:v>
                </c:pt>
                <c:pt idx="30">
                  <c:v>Rim Forest</c:v>
                </c:pt>
                <c:pt idx="31">
                  <c:v>Riverside</c:v>
                </c:pt>
                <c:pt idx="32">
                  <c:v>San Bernardino</c:v>
                </c:pt>
                <c:pt idx="33">
                  <c:v>San Luis Obispo</c:v>
                </c:pt>
                <c:pt idx="34">
                  <c:v>San Pedro</c:v>
                </c:pt>
                <c:pt idx="35">
                  <c:v>Santa Ana</c:v>
                </c:pt>
                <c:pt idx="36">
                  <c:v>Santa Barbara</c:v>
                </c:pt>
                <c:pt idx="37">
                  <c:v>Santa Maria</c:v>
                </c:pt>
                <c:pt idx="38">
                  <c:v>Santa Monica</c:v>
                </c:pt>
                <c:pt idx="39">
                  <c:v>Saticoy</c:v>
                </c:pt>
                <c:pt idx="40">
                  <c:v>Simi Valley</c:v>
                </c:pt>
                <c:pt idx="41">
                  <c:v>Valencia</c:v>
                </c:pt>
                <c:pt idx="42">
                  <c:v>Visalia</c:v>
                </c:pt>
                <c:pt idx="43">
                  <c:v>Whittier</c:v>
                </c:pt>
                <c:pt idx="44">
                  <c:v>Yucca</c:v>
                </c:pt>
                <c:pt idx="45">
                  <c:v>Downey</c:v>
                </c:pt>
                <c:pt idx="46">
                  <c:v>Templeton</c:v>
                </c:pt>
              </c:strCache>
            </c:strRef>
          </c:cat>
          <c:val>
            <c:numRef>
              <c:f>'SoCalGas Costs Data'!$F$7:$AZ$7</c:f>
              <c:numCache>
                <c:formatCode>"$"#,##0_);[Red]\("$"#,##0\)</c:formatCode>
                <c:ptCount val="47"/>
                <c:pt idx="0">
                  <c:v>40813.116834532375</c:v>
                </c:pt>
                <c:pt idx="1">
                  <c:v>30468.951437500004</c:v>
                </c:pt>
                <c:pt idx="2">
                  <c:v>23292.830971563981</c:v>
                </c:pt>
                <c:pt idx="3">
                  <c:v>27219.764176334105</c:v>
                </c:pt>
                <c:pt idx="4">
                  <c:v>28239.733321976153</c:v>
                </c:pt>
                <c:pt idx="5">
                  <c:v>21284.891294117646</c:v>
                </c:pt>
                <c:pt idx="6">
                  <c:v>9737.273684210526</c:v>
                </c:pt>
                <c:pt idx="7">
                  <c:v>32272.381758241761</c:v>
                </c:pt>
                <c:pt idx="8">
                  <c:v>26537.565329849767</c:v>
                </c:pt>
                <c:pt idx="9">
                  <c:v>40939.193179723501</c:v>
                </c:pt>
                <c:pt idx="10">
                  <c:v>28533.979467455621</c:v>
                </c:pt>
                <c:pt idx="11">
                  <c:v>17457.572456026057</c:v>
                </c:pt>
                <c:pt idx="12">
                  <c:v>28580.437317073171</c:v>
                </c:pt>
                <c:pt idx="13">
                  <c:v>39315.106487935656</c:v>
                </c:pt>
                <c:pt idx="14">
                  <c:v>12493.829567496725</c:v>
                </c:pt>
                <c:pt idx="15">
                  <c:v>19218.134699690403</c:v>
                </c:pt>
                <c:pt idx="16">
                  <c:v>18623.881761565834</c:v>
                </c:pt>
                <c:pt idx="17">
                  <c:v>40304.674411267602</c:v>
                </c:pt>
                <c:pt idx="18">
                  <c:v>28287.81397260274</c:v>
                </c:pt>
                <c:pt idx="19">
                  <c:v>40495.146265060241</c:v>
                </c:pt>
                <c:pt idx="20">
                  <c:v>27396.681072386058</c:v>
                </c:pt>
                <c:pt idx="21">
                  <c:v>26410.115921052668</c:v>
                </c:pt>
                <c:pt idx="22">
                  <c:v>23097.841279554938</c:v>
                </c:pt>
                <c:pt idx="23">
                  <c:v>28463.384936936938</c:v>
                </c:pt>
                <c:pt idx="24">
                  <c:v>27133.189975903613</c:v>
                </c:pt>
                <c:pt idx="25">
                  <c:v>28468.526321112517</c:v>
                </c:pt>
                <c:pt idx="26">
                  <c:v>15902.83541385135</c:v>
                </c:pt>
                <c:pt idx="27">
                  <c:v>33825.47346613546</c:v>
                </c:pt>
                <c:pt idx="28">
                  <c:v>0</c:v>
                </c:pt>
                <c:pt idx="29">
                  <c:v>21619.637353308368</c:v>
                </c:pt>
                <c:pt idx="30">
                  <c:v>21771.537777777779</c:v>
                </c:pt>
                <c:pt idx="31">
                  <c:v>17835.707422096315</c:v>
                </c:pt>
                <c:pt idx="32">
                  <c:v>16873.39350357508</c:v>
                </c:pt>
                <c:pt idx="33">
                  <c:v>28285.422983138778</c:v>
                </c:pt>
                <c:pt idx="34">
                  <c:v>21972.543714285715</c:v>
                </c:pt>
                <c:pt idx="35">
                  <c:v>23640.812348367032</c:v>
                </c:pt>
                <c:pt idx="36">
                  <c:v>23456.677818181819</c:v>
                </c:pt>
                <c:pt idx="37">
                  <c:v>53180.149473684207</c:v>
                </c:pt>
                <c:pt idx="38">
                  <c:v>47016.834857142858</c:v>
                </c:pt>
                <c:pt idx="39">
                  <c:v>28905.111219512197</c:v>
                </c:pt>
                <c:pt idx="40">
                  <c:v>32555.408799102133</c:v>
                </c:pt>
                <c:pt idx="41">
                  <c:v>50506.193333333329</c:v>
                </c:pt>
                <c:pt idx="42">
                  <c:v>23403.417777777773</c:v>
                </c:pt>
                <c:pt idx="43">
                  <c:v>31499.594818652855</c:v>
                </c:pt>
                <c:pt idx="44">
                  <c:v>10321.525103011109</c:v>
                </c:pt>
                <c:pt idx="45">
                  <c:v>8637.9475707061574</c:v>
                </c:pt>
                <c:pt idx="46">
                  <c:v>7336.2604651162783</c:v>
                </c:pt>
              </c:numCache>
            </c:numRef>
          </c:val>
          <c:extLst>
            <c:ext xmlns:c16="http://schemas.microsoft.com/office/drawing/2014/chart" uri="{C3380CC4-5D6E-409C-BE32-E72D297353CC}">
              <c16:uniqueId val="{00000000-D102-490E-B60C-852CDD05031D}"/>
            </c:ext>
          </c:extLst>
        </c:ser>
        <c:ser>
          <c:idx val="1"/>
          <c:order val="1"/>
          <c:tx>
            <c:v>Service-Only Replacement</c:v>
          </c:tx>
          <c:spPr>
            <a:solidFill>
              <a:schemeClr val="accent2"/>
            </a:solidFill>
            <a:ln>
              <a:noFill/>
            </a:ln>
            <a:effectLst/>
          </c:spPr>
          <c:invertIfNegative val="0"/>
          <c:cat>
            <c:strRef>
              <c:f>'SoCalGas Costs Data'!$F$5:$AZ$5</c:f>
              <c:strCache>
                <c:ptCount val="47"/>
                <c:pt idx="0">
                  <c:v>182nd Street</c:v>
                </c:pt>
                <c:pt idx="1">
                  <c:v>Alhambra</c:v>
                </c:pt>
                <c:pt idx="2">
                  <c:v>Aliso Viejo</c:v>
                </c:pt>
                <c:pt idx="3">
                  <c:v>Anaheim</c:v>
                </c:pt>
                <c:pt idx="4">
                  <c:v>Azusa</c:v>
                </c:pt>
                <c:pt idx="5">
                  <c:v>Bakersfield</c:v>
                </c:pt>
                <c:pt idx="6">
                  <c:v>Beaumont</c:v>
                </c:pt>
                <c:pt idx="7">
                  <c:v>Belvedere</c:v>
                </c:pt>
                <c:pt idx="8">
                  <c:v>Branford</c:v>
                </c:pt>
                <c:pt idx="9">
                  <c:v>Canoga Park</c:v>
                </c:pt>
                <c:pt idx="10">
                  <c:v>Chino</c:v>
                </c:pt>
                <c:pt idx="11">
                  <c:v>Compton</c:v>
                </c:pt>
                <c:pt idx="12">
                  <c:v>Corona</c:v>
                </c:pt>
                <c:pt idx="13">
                  <c:v>Crenshaw</c:v>
                </c:pt>
                <c:pt idx="14">
                  <c:v>El Centro</c:v>
                </c:pt>
                <c:pt idx="15">
                  <c:v>Fontana</c:v>
                </c:pt>
                <c:pt idx="16">
                  <c:v>Garden Grove</c:v>
                </c:pt>
                <c:pt idx="17">
                  <c:v>Glendale</c:v>
                </c:pt>
                <c:pt idx="18">
                  <c:v>Hollywood</c:v>
                </c:pt>
                <c:pt idx="19">
                  <c:v>Huntington Park</c:v>
                </c:pt>
                <c:pt idx="20">
                  <c:v>Industry</c:v>
                </c:pt>
                <c:pt idx="21">
                  <c:v>Juanita</c:v>
                </c:pt>
                <c:pt idx="22">
                  <c:v>La Jolla</c:v>
                </c:pt>
                <c:pt idx="23">
                  <c:v>Lancaster</c:v>
                </c:pt>
                <c:pt idx="24">
                  <c:v>Murrieta</c:v>
                </c:pt>
                <c:pt idx="25">
                  <c:v>Oxnard</c:v>
                </c:pt>
                <c:pt idx="26">
                  <c:v>Palm Desert</c:v>
                </c:pt>
                <c:pt idx="27">
                  <c:v>Pasadena</c:v>
                </c:pt>
                <c:pt idx="28">
                  <c:v>Porterville</c:v>
                </c:pt>
                <c:pt idx="29">
                  <c:v>Ramona</c:v>
                </c:pt>
                <c:pt idx="30">
                  <c:v>Rim Forest</c:v>
                </c:pt>
                <c:pt idx="31">
                  <c:v>Riverside</c:v>
                </c:pt>
                <c:pt idx="32">
                  <c:v>San Bernardino</c:v>
                </c:pt>
                <c:pt idx="33">
                  <c:v>San Luis Obispo</c:v>
                </c:pt>
                <c:pt idx="34">
                  <c:v>San Pedro</c:v>
                </c:pt>
                <c:pt idx="35">
                  <c:v>Santa Ana</c:v>
                </c:pt>
                <c:pt idx="36">
                  <c:v>Santa Barbara</c:v>
                </c:pt>
                <c:pt idx="37">
                  <c:v>Santa Maria</c:v>
                </c:pt>
                <c:pt idx="38">
                  <c:v>Santa Monica</c:v>
                </c:pt>
                <c:pt idx="39">
                  <c:v>Saticoy</c:v>
                </c:pt>
                <c:pt idx="40">
                  <c:v>Simi Valley</c:v>
                </c:pt>
                <c:pt idx="41">
                  <c:v>Valencia</c:v>
                </c:pt>
                <c:pt idx="42">
                  <c:v>Visalia</c:v>
                </c:pt>
                <c:pt idx="43">
                  <c:v>Whittier</c:v>
                </c:pt>
                <c:pt idx="44">
                  <c:v>Yucca</c:v>
                </c:pt>
                <c:pt idx="45">
                  <c:v>Downey</c:v>
                </c:pt>
                <c:pt idx="46">
                  <c:v>Templeton</c:v>
                </c:pt>
              </c:strCache>
            </c:strRef>
          </c:cat>
          <c:val>
            <c:numRef>
              <c:f>'SoCalGas Costs Data'!$F$6:$AZ$6</c:f>
              <c:numCache>
                <c:formatCode>"$"#,##0_);[Red]\("$"#,##0\)</c:formatCode>
                <c:ptCount val="47"/>
                <c:pt idx="0">
                  <c:v>12265.812341085271</c:v>
                </c:pt>
                <c:pt idx="1">
                  <c:v>12143.67724137931</c:v>
                </c:pt>
                <c:pt idx="2">
                  <c:v>10570.76897826087</c:v>
                </c:pt>
                <c:pt idx="3">
                  <c:v>15689.393630363034</c:v>
                </c:pt>
                <c:pt idx="4">
                  <c:v>14093.539652605461</c:v>
                </c:pt>
                <c:pt idx="5">
                  <c:v>7931.3004504504497</c:v>
                </c:pt>
                <c:pt idx="6">
                  <c:v>8938.8086206896551</c:v>
                </c:pt>
                <c:pt idx="7">
                  <c:v>13715.730481586403</c:v>
                </c:pt>
                <c:pt idx="8">
                  <c:v>13501.306206415622</c:v>
                </c:pt>
                <c:pt idx="9">
                  <c:v>16305.794339622642</c:v>
                </c:pt>
                <c:pt idx="10">
                  <c:v>16630.832901639344</c:v>
                </c:pt>
                <c:pt idx="11">
                  <c:v>8768.4352392947112</c:v>
                </c:pt>
                <c:pt idx="12">
                  <c:v>14930.315378151261</c:v>
                </c:pt>
                <c:pt idx="13">
                  <c:v>9674.1717241379301</c:v>
                </c:pt>
                <c:pt idx="14">
                  <c:v>7587.9091338582675</c:v>
                </c:pt>
                <c:pt idx="15">
                  <c:v>12898.74514905149</c:v>
                </c:pt>
                <c:pt idx="16">
                  <c:v>14514.785455904335</c:v>
                </c:pt>
                <c:pt idx="17">
                  <c:v>17624.402122477386</c:v>
                </c:pt>
                <c:pt idx="18">
                  <c:v>12647.63001510574</c:v>
                </c:pt>
                <c:pt idx="19">
                  <c:v>10474.382658610273</c:v>
                </c:pt>
                <c:pt idx="20">
                  <c:v>15587.249084821427</c:v>
                </c:pt>
                <c:pt idx="21">
                  <c:v>18741.621779859484</c:v>
                </c:pt>
                <c:pt idx="22">
                  <c:v>11543.276094276094</c:v>
                </c:pt>
                <c:pt idx="23">
                  <c:v>10328.813143939393</c:v>
                </c:pt>
                <c:pt idx="24">
                  <c:v>13979.456607142856</c:v>
                </c:pt>
                <c:pt idx="25">
                  <c:v>25015.984419753084</c:v>
                </c:pt>
                <c:pt idx="26">
                  <c:v>10587.475291375293</c:v>
                </c:pt>
                <c:pt idx="27">
                  <c:v>17371.968019480522</c:v>
                </c:pt>
                <c:pt idx="28">
                  <c:v>1511.9425000000001</c:v>
                </c:pt>
                <c:pt idx="29">
                  <c:v>12328.921814671814</c:v>
                </c:pt>
                <c:pt idx="30">
                  <c:v>12944.306588235295</c:v>
                </c:pt>
                <c:pt idx="31">
                  <c:v>10522.020988835726</c:v>
                </c:pt>
                <c:pt idx="32">
                  <c:v>9219.2434552845534</c:v>
                </c:pt>
                <c:pt idx="33">
                  <c:v>17434.339493243246</c:v>
                </c:pt>
                <c:pt idx="34">
                  <c:v>12997.238284313726</c:v>
                </c:pt>
                <c:pt idx="35">
                  <c:v>13708.485424107143</c:v>
                </c:pt>
                <c:pt idx="36">
                  <c:v>21508.843940217394</c:v>
                </c:pt>
                <c:pt idx="37">
                  <c:v>21344.799348837212</c:v>
                </c:pt>
                <c:pt idx="38">
                  <c:v>9921.5251648351659</c:v>
                </c:pt>
                <c:pt idx="39">
                  <c:v>13633.389023066487</c:v>
                </c:pt>
                <c:pt idx="40">
                  <c:v>13498.624160839159</c:v>
                </c:pt>
                <c:pt idx="41">
                  <c:v>18792.504204545457</c:v>
                </c:pt>
                <c:pt idx="42">
                  <c:v>11210.648634812285</c:v>
                </c:pt>
                <c:pt idx="43">
                  <c:v>14500.681400560223</c:v>
                </c:pt>
                <c:pt idx="44">
                  <c:v>6417.5857575757573</c:v>
                </c:pt>
                <c:pt idx="45">
                  <c:v>10130.870360610264</c:v>
                </c:pt>
                <c:pt idx="46">
                  <c:v>7577.7049999999999</c:v>
                </c:pt>
              </c:numCache>
            </c:numRef>
          </c:val>
          <c:extLst>
            <c:ext xmlns:c16="http://schemas.microsoft.com/office/drawing/2014/chart" uri="{C3380CC4-5D6E-409C-BE32-E72D297353CC}">
              <c16:uniqueId val="{00000001-D102-490E-B60C-852CDD05031D}"/>
            </c:ext>
          </c:extLst>
        </c:ser>
        <c:dLbls>
          <c:showLegendKey val="0"/>
          <c:showVal val="0"/>
          <c:showCatName val="0"/>
          <c:showSerName val="0"/>
          <c:showPercent val="0"/>
          <c:showBubbleSize val="0"/>
        </c:dLbls>
        <c:gapWidth val="219"/>
        <c:overlap val="-27"/>
        <c:axId val="1011174223"/>
        <c:axId val="1011173263"/>
      </c:barChart>
      <c:catAx>
        <c:axId val="101117422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11173263"/>
        <c:crosses val="autoZero"/>
        <c:auto val="0"/>
        <c:lblAlgn val="ctr"/>
        <c:lblOffset val="100"/>
        <c:tickLblSkip val="1"/>
        <c:noMultiLvlLbl val="0"/>
      </c:catAx>
      <c:valAx>
        <c:axId val="1011173263"/>
        <c:scaling>
          <c:orientation val="minMax"/>
          <c:max val="60000"/>
        </c:scaling>
        <c:delete val="0"/>
        <c:axPos val="l"/>
        <c:majorGridlines>
          <c:spPr>
            <a:ln w="9525" cap="flat" cmpd="sng" algn="ctr">
              <a:solidFill>
                <a:schemeClr val="tx1">
                  <a:lumMod val="15000"/>
                  <a:lumOff val="85000"/>
                </a:schemeClr>
              </a:solidFill>
              <a:round/>
            </a:ln>
            <a:effectLst/>
          </c:spPr>
        </c:majorGridlines>
        <c:numFmt formatCode="&quot;$&quot;#,##0_);[Red]\(&quot;$&quot;#,##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11174223"/>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4.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5</xdr:col>
      <xdr:colOff>3175</xdr:colOff>
      <xdr:row>8</xdr:row>
      <xdr:rowOff>3175</xdr:rowOff>
    </xdr:from>
    <xdr:to>
      <xdr:col>5</xdr:col>
      <xdr:colOff>66675</xdr:colOff>
      <xdr:row>8</xdr:row>
      <xdr:rowOff>105767</xdr:rowOff>
    </xdr:to>
    <xdr:sp macro="" textlink="">
      <xdr:nvSpPr>
        <xdr:cNvPr id="2" name="TextBox 1">
          <a:extLst>
            <a:ext uri="{FF2B5EF4-FFF2-40B4-BE49-F238E27FC236}">
              <a16:creationId xmlns:a16="http://schemas.microsoft.com/office/drawing/2014/main" id="{674899FB-E41A-4832-9FD1-A7CB418B1A71}"/>
            </a:ext>
          </a:extLst>
        </xdr:cNvPr>
        <xdr:cNvSpPr txBox="1"/>
      </xdr:nvSpPr>
      <xdr:spPr>
        <a:xfrm>
          <a:off x="8057515" y="119189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X1A0T</a:t>
          </a:r>
        </a:p>
      </xdr:txBody>
    </xdr:sp>
    <xdr:clientData/>
  </xdr:twoCellAnchor>
  <xdr:twoCellAnchor>
    <xdr:from>
      <xdr:col>5</xdr:col>
      <xdr:colOff>3175</xdr:colOff>
      <xdr:row>19</xdr:row>
      <xdr:rowOff>3175</xdr:rowOff>
    </xdr:from>
    <xdr:to>
      <xdr:col>5</xdr:col>
      <xdr:colOff>66675</xdr:colOff>
      <xdr:row>19</xdr:row>
      <xdr:rowOff>105767</xdr:rowOff>
    </xdr:to>
    <xdr:sp macro="" textlink="">
      <xdr:nvSpPr>
        <xdr:cNvPr id="3" name="TextBox 2">
          <a:extLst>
            <a:ext uri="{FF2B5EF4-FFF2-40B4-BE49-F238E27FC236}">
              <a16:creationId xmlns:a16="http://schemas.microsoft.com/office/drawing/2014/main" id="{D3060F2A-0BE9-4BF5-830A-A6A5266AFF69}"/>
            </a:ext>
          </a:extLst>
        </xdr:cNvPr>
        <xdr:cNvSpPr txBox="1"/>
      </xdr:nvSpPr>
      <xdr:spPr>
        <a:xfrm>
          <a:off x="8057515" y="416369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X1A1T</a:t>
          </a:r>
        </a:p>
      </xdr:txBody>
    </xdr:sp>
    <xdr:clientData/>
  </xdr:twoCellAnchor>
  <xdr:twoCellAnchor>
    <xdr:from>
      <xdr:col>5</xdr:col>
      <xdr:colOff>3175</xdr:colOff>
      <xdr:row>16</xdr:row>
      <xdr:rowOff>3175</xdr:rowOff>
    </xdr:from>
    <xdr:to>
      <xdr:col>5</xdr:col>
      <xdr:colOff>66675</xdr:colOff>
      <xdr:row>16</xdr:row>
      <xdr:rowOff>105767</xdr:rowOff>
    </xdr:to>
    <xdr:sp macro="" textlink="">
      <xdr:nvSpPr>
        <xdr:cNvPr id="4" name="TextBox 3">
          <a:extLst>
            <a:ext uri="{FF2B5EF4-FFF2-40B4-BE49-F238E27FC236}">
              <a16:creationId xmlns:a16="http://schemas.microsoft.com/office/drawing/2014/main" id="{4ED00A8A-5DD8-42EB-9EAF-3E39013C643E}"/>
            </a:ext>
          </a:extLst>
        </xdr:cNvPr>
        <xdr:cNvSpPr txBox="1"/>
      </xdr:nvSpPr>
      <xdr:spPr>
        <a:xfrm>
          <a:off x="8057515" y="178625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X1A2T</a:t>
          </a:r>
        </a:p>
      </xdr:txBody>
    </xdr:sp>
    <xdr:clientData/>
  </xdr:twoCellAnchor>
  <xdr:twoCellAnchor>
    <xdr:from>
      <xdr:col>5</xdr:col>
      <xdr:colOff>3175</xdr:colOff>
      <xdr:row>40</xdr:row>
      <xdr:rowOff>3175</xdr:rowOff>
    </xdr:from>
    <xdr:to>
      <xdr:col>5</xdr:col>
      <xdr:colOff>66675</xdr:colOff>
      <xdr:row>40</xdr:row>
      <xdr:rowOff>105767</xdr:rowOff>
    </xdr:to>
    <xdr:sp macro="" textlink="">
      <xdr:nvSpPr>
        <xdr:cNvPr id="5" name="TextBox 4">
          <a:extLst>
            <a:ext uri="{FF2B5EF4-FFF2-40B4-BE49-F238E27FC236}">
              <a16:creationId xmlns:a16="http://schemas.microsoft.com/office/drawing/2014/main" id="{9B497AB9-BED4-43E9-8FE6-2C20EFFC4E40}"/>
            </a:ext>
          </a:extLst>
        </xdr:cNvPr>
        <xdr:cNvSpPr txBox="1"/>
      </xdr:nvSpPr>
      <xdr:spPr>
        <a:xfrm>
          <a:off x="8484235" y="79565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X1A0T</a:t>
          </a:r>
        </a:p>
      </xdr:txBody>
    </xdr:sp>
    <xdr:clientData/>
  </xdr:twoCellAnchor>
  <xdr:twoCellAnchor>
    <xdr:from>
      <xdr:col>5</xdr:col>
      <xdr:colOff>3175</xdr:colOff>
      <xdr:row>43</xdr:row>
      <xdr:rowOff>3175</xdr:rowOff>
    </xdr:from>
    <xdr:to>
      <xdr:col>5</xdr:col>
      <xdr:colOff>66675</xdr:colOff>
      <xdr:row>43</xdr:row>
      <xdr:rowOff>105767</xdr:rowOff>
    </xdr:to>
    <xdr:sp macro="" textlink="">
      <xdr:nvSpPr>
        <xdr:cNvPr id="6" name="TextBox 5">
          <a:extLst>
            <a:ext uri="{FF2B5EF4-FFF2-40B4-BE49-F238E27FC236}">
              <a16:creationId xmlns:a16="http://schemas.microsoft.com/office/drawing/2014/main" id="{F95984CF-C101-4A78-95F0-DCCF71E13083}"/>
            </a:ext>
          </a:extLst>
        </xdr:cNvPr>
        <xdr:cNvSpPr txBox="1"/>
      </xdr:nvSpPr>
      <xdr:spPr>
        <a:xfrm>
          <a:off x="8484235" y="324929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X1A1T</a:t>
          </a:r>
        </a:p>
      </xdr:txBody>
    </xdr:sp>
    <xdr:clientData/>
  </xdr:twoCellAnchor>
  <xdr:twoCellAnchor>
    <xdr:from>
      <xdr:col>4</xdr:col>
      <xdr:colOff>3175</xdr:colOff>
      <xdr:row>44</xdr:row>
      <xdr:rowOff>3175</xdr:rowOff>
    </xdr:from>
    <xdr:to>
      <xdr:col>4</xdr:col>
      <xdr:colOff>66675</xdr:colOff>
      <xdr:row>44</xdr:row>
      <xdr:rowOff>105767</xdr:rowOff>
    </xdr:to>
    <xdr:sp macro="" textlink="">
      <xdr:nvSpPr>
        <xdr:cNvPr id="7" name="TextBox 6">
          <a:extLst>
            <a:ext uri="{FF2B5EF4-FFF2-40B4-BE49-F238E27FC236}">
              <a16:creationId xmlns:a16="http://schemas.microsoft.com/office/drawing/2014/main" id="{383F72E8-08FB-47FE-80A4-2FCAF0F77636}"/>
            </a:ext>
          </a:extLst>
        </xdr:cNvPr>
        <xdr:cNvSpPr txBox="1"/>
      </xdr:nvSpPr>
      <xdr:spPr>
        <a:xfrm>
          <a:off x="4156075" y="388175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X1A2T</a:t>
          </a:r>
        </a:p>
      </xdr:txBody>
    </xdr:sp>
    <xdr:clientData/>
  </xdr:twoCellAnchor>
  <xdr:twoCellAnchor>
    <xdr:from>
      <xdr:col>4</xdr:col>
      <xdr:colOff>3175</xdr:colOff>
      <xdr:row>45</xdr:row>
      <xdr:rowOff>3175</xdr:rowOff>
    </xdr:from>
    <xdr:to>
      <xdr:col>4</xdr:col>
      <xdr:colOff>66675</xdr:colOff>
      <xdr:row>45</xdr:row>
      <xdr:rowOff>105767</xdr:rowOff>
    </xdr:to>
    <xdr:sp macro="" textlink="">
      <xdr:nvSpPr>
        <xdr:cNvPr id="8" name="TextBox 7">
          <a:extLst>
            <a:ext uri="{FF2B5EF4-FFF2-40B4-BE49-F238E27FC236}">
              <a16:creationId xmlns:a16="http://schemas.microsoft.com/office/drawing/2014/main" id="{74640FB8-66C2-4201-85BF-D05D8965A17C}"/>
            </a:ext>
          </a:extLst>
        </xdr:cNvPr>
        <xdr:cNvSpPr txBox="1"/>
      </xdr:nvSpPr>
      <xdr:spPr>
        <a:xfrm>
          <a:off x="4156075" y="4956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X1A3T</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3175</xdr:colOff>
      <xdr:row>8</xdr:row>
      <xdr:rowOff>3175</xdr:rowOff>
    </xdr:from>
    <xdr:to>
      <xdr:col>5</xdr:col>
      <xdr:colOff>66675</xdr:colOff>
      <xdr:row>8</xdr:row>
      <xdr:rowOff>105767</xdr:rowOff>
    </xdr:to>
    <xdr:sp macro="" textlink="">
      <xdr:nvSpPr>
        <xdr:cNvPr id="2" name="TextBox 1">
          <a:extLst>
            <a:ext uri="{FF2B5EF4-FFF2-40B4-BE49-F238E27FC236}">
              <a16:creationId xmlns:a16="http://schemas.microsoft.com/office/drawing/2014/main" id="{DA3A5845-2D3B-4752-BE8B-3720D0C93579}"/>
            </a:ext>
          </a:extLst>
        </xdr:cNvPr>
        <xdr:cNvSpPr txBox="1"/>
      </xdr:nvSpPr>
      <xdr:spPr>
        <a:xfrm>
          <a:off x="2380615" y="36893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X1A0T</a:t>
          </a:r>
        </a:p>
      </xdr:txBody>
    </xdr:sp>
    <xdr:clientData/>
  </xdr:twoCellAnchor>
  <xdr:twoCellAnchor>
    <xdr:from>
      <xdr:col>5</xdr:col>
      <xdr:colOff>3175</xdr:colOff>
      <xdr:row>19</xdr:row>
      <xdr:rowOff>3175</xdr:rowOff>
    </xdr:from>
    <xdr:to>
      <xdr:col>5</xdr:col>
      <xdr:colOff>66675</xdr:colOff>
      <xdr:row>19</xdr:row>
      <xdr:rowOff>105767</xdr:rowOff>
    </xdr:to>
    <xdr:sp macro="" textlink="">
      <xdr:nvSpPr>
        <xdr:cNvPr id="3" name="TextBox 2">
          <a:extLst>
            <a:ext uri="{FF2B5EF4-FFF2-40B4-BE49-F238E27FC236}">
              <a16:creationId xmlns:a16="http://schemas.microsoft.com/office/drawing/2014/main" id="{70250322-47F6-41CE-BF4F-03C31493E569}"/>
            </a:ext>
          </a:extLst>
        </xdr:cNvPr>
        <xdr:cNvSpPr txBox="1"/>
      </xdr:nvSpPr>
      <xdr:spPr>
        <a:xfrm>
          <a:off x="2380615" y="110045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X1A1T</a:t>
          </a:r>
        </a:p>
      </xdr:txBody>
    </xdr:sp>
    <xdr:clientData/>
  </xdr:twoCellAnchor>
  <xdr:twoCellAnchor>
    <xdr:from>
      <xdr:col>1</xdr:col>
      <xdr:colOff>3175</xdr:colOff>
      <xdr:row>26</xdr:row>
      <xdr:rowOff>3175</xdr:rowOff>
    </xdr:from>
    <xdr:to>
      <xdr:col>1</xdr:col>
      <xdr:colOff>66675</xdr:colOff>
      <xdr:row>26</xdr:row>
      <xdr:rowOff>105767</xdr:rowOff>
    </xdr:to>
    <xdr:sp macro="" textlink="">
      <xdr:nvSpPr>
        <xdr:cNvPr id="4" name="TextBox 3">
          <a:extLst>
            <a:ext uri="{FF2B5EF4-FFF2-40B4-BE49-F238E27FC236}">
              <a16:creationId xmlns:a16="http://schemas.microsoft.com/office/drawing/2014/main" id="{E4F841DC-302F-4E40-A2D2-A30E3C59A8A8}"/>
            </a:ext>
          </a:extLst>
        </xdr:cNvPr>
        <xdr:cNvSpPr txBox="1"/>
      </xdr:nvSpPr>
      <xdr:spPr>
        <a:xfrm>
          <a:off x="3175" y="256349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X1A2T</a:t>
          </a:r>
        </a:p>
      </xdr:txBody>
    </xdr:sp>
    <xdr:clientData/>
  </xdr:twoCellAnchor>
  <xdr:twoCellAnchor>
    <xdr:from>
      <xdr:col>1</xdr:col>
      <xdr:colOff>3175</xdr:colOff>
      <xdr:row>25</xdr:row>
      <xdr:rowOff>3175</xdr:rowOff>
    </xdr:from>
    <xdr:to>
      <xdr:col>1</xdr:col>
      <xdr:colOff>66675</xdr:colOff>
      <xdr:row>25</xdr:row>
      <xdr:rowOff>105767</xdr:rowOff>
    </xdr:to>
    <xdr:sp macro="" textlink="">
      <xdr:nvSpPr>
        <xdr:cNvPr id="5" name="TextBox 4">
          <a:extLst>
            <a:ext uri="{FF2B5EF4-FFF2-40B4-BE49-F238E27FC236}">
              <a16:creationId xmlns:a16="http://schemas.microsoft.com/office/drawing/2014/main" id="{F9985C37-6BAB-4DCB-B3D0-DA56E779D2B5}"/>
            </a:ext>
          </a:extLst>
        </xdr:cNvPr>
        <xdr:cNvSpPr txBox="1"/>
      </xdr:nvSpPr>
      <xdr:spPr>
        <a:xfrm>
          <a:off x="3175" y="238061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X1A3T</a:t>
          </a:r>
        </a:p>
      </xdr:txBody>
    </xdr:sp>
    <xdr:clientData/>
  </xdr:twoCellAnchor>
  <xdr:twoCellAnchor>
    <xdr:from>
      <xdr:col>1</xdr:col>
      <xdr:colOff>3175</xdr:colOff>
      <xdr:row>49</xdr:row>
      <xdr:rowOff>3174</xdr:rowOff>
    </xdr:from>
    <xdr:to>
      <xdr:col>1</xdr:col>
      <xdr:colOff>66675</xdr:colOff>
      <xdr:row>49</xdr:row>
      <xdr:rowOff>105766</xdr:rowOff>
    </xdr:to>
    <xdr:sp macro="" textlink="">
      <xdr:nvSpPr>
        <xdr:cNvPr id="6" name="TextBox 5">
          <a:extLst>
            <a:ext uri="{FF2B5EF4-FFF2-40B4-BE49-F238E27FC236}">
              <a16:creationId xmlns:a16="http://schemas.microsoft.com/office/drawing/2014/main" id="{391143A8-763C-4F88-8AF3-6D4435B6A15B}"/>
            </a:ext>
          </a:extLst>
        </xdr:cNvPr>
        <xdr:cNvSpPr txBox="1"/>
      </xdr:nvSpPr>
      <xdr:spPr>
        <a:xfrm>
          <a:off x="3175" y="5306694"/>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X1A4T</a:t>
          </a:r>
        </a:p>
      </xdr:txBody>
    </xdr:sp>
    <xdr:clientData/>
  </xdr:twoCellAnchor>
  <xdr:twoCellAnchor>
    <xdr:from>
      <xdr:col>1</xdr:col>
      <xdr:colOff>3175</xdr:colOff>
      <xdr:row>48</xdr:row>
      <xdr:rowOff>3176</xdr:rowOff>
    </xdr:from>
    <xdr:to>
      <xdr:col>1</xdr:col>
      <xdr:colOff>66675</xdr:colOff>
      <xdr:row>48</xdr:row>
      <xdr:rowOff>105768</xdr:rowOff>
    </xdr:to>
    <xdr:sp macro="" textlink="">
      <xdr:nvSpPr>
        <xdr:cNvPr id="7" name="TextBox 6">
          <a:extLst>
            <a:ext uri="{FF2B5EF4-FFF2-40B4-BE49-F238E27FC236}">
              <a16:creationId xmlns:a16="http://schemas.microsoft.com/office/drawing/2014/main" id="{62933DFC-54C3-4F10-AC85-6A1A372C7068}"/>
            </a:ext>
          </a:extLst>
        </xdr:cNvPr>
        <xdr:cNvSpPr txBox="1"/>
      </xdr:nvSpPr>
      <xdr:spPr>
        <a:xfrm>
          <a:off x="3175" y="5123816"/>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X1A5T</a:t>
          </a:r>
        </a:p>
      </xdr:txBody>
    </xdr:sp>
    <xdr:clientData/>
  </xdr:twoCellAnchor>
  <xdr:twoCellAnchor>
    <xdr:from>
      <xdr:col>8</xdr:col>
      <xdr:colOff>3175</xdr:colOff>
      <xdr:row>38</xdr:row>
      <xdr:rowOff>3175</xdr:rowOff>
    </xdr:from>
    <xdr:to>
      <xdr:col>8</xdr:col>
      <xdr:colOff>66675</xdr:colOff>
      <xdr:row>38</xdr:row>
      <xdr:rowOff>105767</xdr:rowOff>
    </xdr:to>
    <xdr:sp macro="" textlink="">
      <xdr:nvSpPr>
        <xdr:cNvPr id="15" name="TextBox 14">
          <a:extLst>
            <a:ext uri="{FF2B5EF4-FFF2-40B4-BE49-F238E27FC236}">
              <a16:creationId xmlns:a16="http://schemas.microsoft.com/office/drawing/2014/main" id="{2CE6B035-2B23-4B2D-8107-E19DA0BD52AE}"/>
            </a:ext>
          </a:extLst>
        </xdr:cNvPr>
        <xdr:cNvSpPr txBox="1"/>
      </xdr:nvSpPr>
      <xdr:spPr>
        <a:xfrm>
          <a:off x="5245735" y="182435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X1A0T</a:t>
          </a:r>
        </a:p>
      </xdr:txBody>
    </xdr:sp>
    <xdr:clientData/>
  </xdr:twoCellAnchor>
  <xdr:twoCellAnchor>
    <xdr:from>
      <xdr:col>8</xdr:col>
      <xdr:colOff>3175</xdr:colOff>
      <xdr:row>41</xdr:row>
      <xdr:rowOff>3175</xdr:rowOff>
    </xdr:from>
    <xdr:to>
      <xdr:col>8</xdr:col>
      <xdr:colOff>66675</xdr:colOff>
      <xdr:row>41</xdr:row>
      <xdr:rowOff>105767</xdr:rowOff>
    </xdr:to>
    <xdr:sp macro="" textlink="">
      <xdr:nvSpPr>
        <xdr:cNvPr id="18" name="TextBox 17">
          <a:extLst>
            <a:ext uri="{FF2B5EF4-FFF2-40B4-BE49-F238E27FC236}">
              <a16:creationId xmlns:a16="http://schemas.microsoft.com/office/drawing/2014/main" id="{6030835D-149D-461F-9B2E-C5B18820E1CB}"/>
            </a:ext>
          </a:extLst>
        </xdr:cNvPr>
        <xdr:cNvSpPr txBox="1"/>
      </xdr:nvSpPr>
      <xdr:spPr>
        <a:xfrm>
          <a:off x="5245735" y="581723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X1A3T</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3175</xdr:colOff>
      <xdr:row>26</xdr:row>
      <xdr:rowOff>3175</xdr:rowOff>
    </xdr:from>
    <xdr:to>
      <xdr:col>1</xdr:col>
      <xdr:colOff>66675</xdr:colOff>
      <xdr:row>26</xdr:row>
      <xdr:rowOff>105767</xdr:rowOff>
    </xdr:to>
    <xdr:sp macro="" textlink="">
      <xdr:nvSpPr>
        <xdr:cNvPr id="2" name="TextBox 1">
          <a:extLst>
            <a:ext uri="{FF2B5EF4-FFF2-40B4-BE49-F238E27FC236}">
              <a16:creationId xmlns:a16="http://schemas.microsoft.com/office/drawing/2014/main" id="{00A4AD5D-66DB-4E29-AECF-B76CDB51EA92}"/>
            </a:ext>
          </a:extLst>
        </xdr:cNvPr>
        <xdr:cNvSpPr txBox="1"/>
      </xdr:nvSpPr>
      <xdr:spPr>
        <a:xfrm>
          <a:off x="1306195" y="1736915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kern="1200">
              <a:latin typeface="ZWAdobeF" pitchFamily="2" charset="0"/>
            </a:rPr>
            <a:t>X1A2T</a:t>
          </a:r>
        </a:p>
      </xdr:txBody>
    </xdr:sp>
    <xdr:clientData/>
  </xdr:twoCellAnchor>
  <xdr:twoCellAnchor>
    <xdr:from>
      <xdr:col>5</xdr:col>
      <xdr:colOff>3175</xdr:colOff>
      <xdr:row>8</xdr:row>
      <xdr:rowOff>3175</xdr:rowOff>
    </xdr:from>
    <xdr:to>
      <xdr:col>5</xdr:col>
      <xdr:colOff>66675</xdr:colOff>
      <xdr:row>8</xdr:row>
      <xdr:rowOff>105767</xdr:rowOff>
    </xdr:to>
    <xdr:sp macro="" textlink="">
      <xdr:nvSpPr>
        <xdr:cNvPr id="3" name="TextBox 2">
          <a:extLst>
            <a:ext uri="{FF2B5EF4-FFF2-40B4-BE49-F238E27FC236}">
              <a16:creationId xmlns:a16="http://schemas.microsoft.com/office/drawing/2014/main" id="{174BB146-8362-4EF7-AE15-30B84C63B9DB}"/>
            </a:ext>
          </a:extLst>
        </xdr:cNvPr>
        <xdr:cNvSpPr txBox="1"/>
      </xdr:nvSpPr>
      <xdr:spPr>
        <a:xfrm>
          <a:off x="6906895" y="25939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kern="1200">
              <a:latin typeface="ZWAdobeF" pitchFamily="2" charset="0"/>
            </a:rPr>
            <a:t>X1A0T</a:t>
          </a:r>
        </a:p>
      </xdr:txBody>
    </xdr:sp>
    <xdr:clientData/>
  </xdr:twoCellAnchor>
  <xdr:twoCellAnchor>
    <xdr:from>
      <xdr:col>5</xdr:col>
      <xdr:colOff>3175</xdr:colOff>
      <xdr:row>19</xdr:row>
      <xdr:rowOff>3175</xdr:rowOff>
    </xdr:from>
    <xdr:to>
      <xdr:col>5</xdr:col>
      <xdr:colOff>66675</xdr:colOff>
      <xdr:row>19</xdr:row>
      <xdr:rowOff>105767</xdr:rowOff>
    </xdr:to>
    <xdr:sp macro="" textlink="">
      <xdr:nvSpPr>
        <xdr:cNvPr id="4" name="TextBox 3">
          <a:extLst>
            <a:ext uri="{FF2B5EF4-FFF2-40B4-BE49-F238E27FC236}">
              <a16:creationId xmlns:a16="http://schemas.microsoft.com/office/drawing/2014/main" id="{3F4BDF7B-D6F5-4A4C-A523-3CD2738A1F3B}"/>
            </a:ext>
          </a:extLst>
        </xdr:cNvPr>
        <xdr:cNvSpPr txBox="1"/>
      </xdr:nvSpPr>
      <xdr:spPr>
        <a:xfrm>
          <a:off x="6906895" y="727265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kern="1200">
              <a:latin typeface="ZWAdobeF" pitchFamily="2" charset="0"/>
            </a:rPr>
            <a:t>X1A1T</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2</xdr:row>
      <xdr:rowOff>0</xdr:rowOff>
    </xdr:from>
    <xdr:to>
      <xdr:col>8</xdr:col>
      <xdr:colOff>304800</xdr:colOff>
      <xdr:row>17</xdr:row>
      <xdr:rowOff>0</xdr:rowOff>
    </xdr:to>
    <xdr:graphicFrame macro="">
      <xdr:nvGraphicFramePr>
        <xdr:cNvPr id="2" name="Chart 1">
          <a:extLst>
            <a:ext uri="{FF2B5EF4-FFF2-40B4-BE49-F238E27FC236}">
              <a16:creationId xmlns:a16="http://schemas.microsoft.com/office/drawing/2014/main" id="{BED76D72-A346-4D2A-B0C3-0CE59C5AA43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236220</xdr:colOff>
      <xdr:row>1</xdr:row>
      <xdr:rowOff>179070</xdr:rowOff>
    </xdr:from>
    <xdr:to>
      <xdr:col>21</xdr:col>
      <xdr:colOff>68580</xdr:colOff>
      <xdr:row>19</xdr:row>
      <xdr:rowOff>15240</xdr:rowOff>
    </xdr:to>
    <xdr:graphicFrame macro="">
      <xdr:nvGraphicFramePr>
        <xdr:cNvPr id="3" name="Chart 2">
          <a:extLst>
            <a:ext uri="{FF2B5EF4-FFF2-40B4-BE49-F238E27FC236}">
              <a16:creationId xmlns:a16="http://schemas.microsoft.com/office/drawing/2014/main" id="{BA9AC511-C68F-DB65-E83F-5A989849518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hyperlink" Target="http://[s1l1];/" TargetMode="External"/><Relationship Id="rId7" Type="http://schemas.openxmlformats.org/officeDocument/2006/relationships/customProperty" Target="../customProperty1.bin"/><Relationship Id="rId2" Type="http://schemas.openxmlformats.org/officeDocument/2006/relationships/hyperlink" Target="http://[s1l3];/" TargetMode="External"/><Relationship Id="rId1" Type="http://schemas.openxmlformats.org/officeDocument/2006/relationships/hyperlink" Target="http://[s1l2];/" TargetMode="External"/><Relationship Id="rId6" Type="http://schemas.openxmlformats.org/officeDocument/2006/relationships/printerSettings" Target="../printerSettings/printerSettings8.bin"/><Relationship Id="rId5" Type="http://schemas.openxmlformats.org/officeDocument/2006/relationships/hyperlink" Target="http://[s1l10];/" TargetMode="External"/><Relationship Id="rId4" Type="http://schemas.openxmlformats.org/officeDocument/2006/relationships/hyperlink" Target="http://[s1l2];/"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1.bin"/></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AD34B4-1EA3-43AF-8CE8-75225DFD3E5A}">
  <dimension ref="A1:F21"/>
  <sheetViews>
    <sheetView tabSelected="1" workbookViewId="0">
      <selection activeCell="A4" sqref="A4"/>
    </sheetView>
  </sheetViews>
  <sheetFormatPr defaultColWidth="8.88671875" defaultRowHeight="15.6" x14ac:dyDescent="0.3"/>
  <cols>
    <col min="1" max="1" width="104.5546875" style="160" customWidth="1"/>
    <col min="2" max="16384" width="8.88671875" style="160"/>
  </cols>
  <sheetData>
    <row r="1" spans="1:6" x14ac:dyDescent="0.3">
      <c r="A1" s="158" t="s">
        <v>0</v>
      </c>
    </row>
    <row r="2" spans="1:6" s="1" customFormat="1" ht="16.2" x14ac:dyDescent="0.35">
      <c r="A2" s="159" t="s">
        <v>1</v>
      </c>
      <c r="B2" s="10"/>
      <c r="C2" s="10"/>
      <c r="D2" s="10"/>
      <c r="E2" s="10"/>
      <c r="F2" s="10"/>
    </row>
    <row r="3" spans="1:6" s="1" customFormat="1" ht="16.2" x14ac:dyDescent="0.35">
      <c r="A3" s="159" t="s">
        <v>1477</v>
      </c>
      <c r="B3" s="10"/>
      <c r="C3" s="10"/>
      <c r="D3" s="10"/>
      <c r="E3" s="10"/>
      <c r="F3" s="10"/>
    </row>
    <row r="5" spans="1:6" ht="16.8" thickBot="1" x14ac:dyDescent="0.35">
      <c r="A5" s="6" t="s">
        <v>8</v>
      </c>
    </row>
    <row r="6" spans="1:6" ht="160.5" customHeight="1" x14ac:dyDescent="0.3">
      <c r="A6" s="161" t="s">
        <v>9</v>
      </c>
    </row>
    <row r="7" spans="1:6" s="1" customFormat="1" x14ac:dyDescent="0.3">
      <c r="A7" s="10"/>
      <c r="B7" s="10"/>
      <c r="C7" s="10"/>
      <c r="D7" s="10"/>
      <c r="E7" s="10"/>
      <c r="F7" s="10"/>
    </row>
    <row r="8" spans="1:6" ht="16.8" thickBot="1" x14ac:dyDescent="0.35">
      <c r="A8" s="6" t="s">
        <v>1474</v>
      </c>
    </row>
    <row r="9" spans="1:6" ht="46.8" x14ac:dyDescent="0.3">
      <c r="A9" s="161" t="s">
        <v>2</v>
      </c>
    </row>
    <row r="10" spans="1:6" ht="31.2" x14ac:dyDescent="0.3">
      <c r="A10" s="161" t="s">
        <v>3</v>
      </c>
    </row>
    <row r="11" spans="1:6" x14ac:dyDescent="0.3">
      <c r="A11" s="161"/>
    </row>
    <row r="12" spans="1:6" ht="16.8" thickBot="1" x14ac:dyDescent="0.35">
      <c r="A12" s="6" t="s">
        <v>1475</v>
      </c>
    </row>
    <row r="13" spans="1:6" ht="46.8" x14ac:dyDescent="0.3">
      <c r="A13" s="161" t="s">
        <v>1476</v>
      </c>
    </row>
    <row r="14" spans="1:6" ht="46.8" x14ac:dyDescent="0.3">
      <c r="A14" s="161" t="s">
        <v>5</v>
      </c>
    </row>
    <row r="15" spans="1:6" x14ac:dyDescent="0.3">
      <c r="A15" s="161" t="s">
        <v>6</v>
      </c>
    </row>
    <row r="16" spans="1:6" ht="30" customHeight="1" x14ac:dyDescent="0.3">
      <c r="A16" s="161" t="s">
        <v>7</v>
      </c>
    </row>
    <row r="18" spans="1:1" ht="16.8" thickBot="1" x14ac:dyDescent="0.35">
      <c r="A18" s="6" t="s">
        <v>10</v>
      </c>
    </row>
    <row r="19" spans="1:1" ht="62.4" x14ac:dyDescent="0.3">
      <c r="A19" s="161" t="s">
        <v>11</v>
      </c>
    </row>
    <row r="20" spans="1:1" ht="78" x14ac:dyDescent="0.3">
      <c r="A20" s="161" t="s">
        <v>12</v>
      </c>
    </row>
    <row r="21" spans="1:1" ht="93.6" x14ac:dyDescent="0.3">
      <c r="A21" s="161" t="s">
        <v>13</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B1B84C-4F0A-4790-BCAB-0A5C390A2D58}">
  <dimension ref="A1:L23"/>
  <sheetViews>
    <sheetView workbookViewId="0">
      <selection activeCell="A2" sqref="A2"/>
    </sheetView>
  </sheetViews>
  <sheetFormatPr defaultColWidth="8.6640625" defaultRowHeight="15.6" x14ac:dyDescent="0.3"/>
  <cols>
    <col min="1" max="1" width="25.5546875" style="10" customWidth="1"/>
    <col min="2" max="2" width="27.33203125" style="10" customWidth="1"/>
    <col min="3" max="3" width="21.6640625" style="10" customWidth="1"/>
    <col min="4" max="4" width="22.33203125" style="10" customWidth="1"/>
    <col min="5" max="6" width="23" style="10" customWidth="1"/>
    <col min="7" max="7" width="18.109375" style="10" customWidth="1"/>
    <col min="8" max="8" width="18.109375" style="1" customWidth="1"/>
    <col min="9" max="9" width="21.5546875" style="1" customWidth="1"/>
    <col min="10" max="10" width="16.109375" style="1" customWidth="1"/>
    <col min="11" max="11" width="16.33203125" style="1" customWidth="1"/>
    <col min="12" max="12" width="16.109375" style="1" customWidth="1"/>
    <col min="13" max="16384" width="8.6640625" style="1"/>
  </cols>
  <sheetData>
    <row r="1" spans="1:12" x14ac:dyDescent="0.3">
      <c r="A1" s="158" t="s">
        <v>1291</v>
      </c>
    </row>
    <row r="2" spans="1:12" ht="16.2" thickBot="1" x14ac:dyDescent="0.35"/>
    <row r="3" spans="1:12" ht="31.8" thickBot="1" x14ac:dyDescent="0.35">
      <c r="A3" s="15" t="s">
        <v>15</v>
      </c>
      <c r="B3" s="16" t="s">
        <v>16</v>
      </c>
      <c r="C3" s="16" t="s">
        <v>17</v>
      </c>
      <c r="D3" s="16" t="s">
        <v>18</v>
      </c>
      <c r="E3" s="16" t="s">
        <v>19</v>
      </c>
      <c r="F3" s="16" t="s">
        <v>20</v>
      </c>
      <c r="G3" s="16" t="s">
        <v>21</v>
      </c>
      <c r="H3" s="16" t="s">
        <v>22</v>
      </c>
      <c r="I3" s="16" t="s">
        <v>23</v>
      </c>
      <c r="J3" s="16" t="s">
        <v>24</v>
      </c>
    </row>
    <row r="4" spans="1:12" ht="31.8" thickBot="1" x14ac:dyDescent="0.35">
      <c r="A4" s="123"/>
      <c r="B4" s="124"/>
      <c r="C4" s="124"/>
      <c r="D4" s="125"/>
      <c r="E4" s="124" t="s">
        <v>27</v>
      </c>
      <c r="F4" s="124"/>
      <c r="G4" s="124"/>
      <c r="H4" s="124"/>
      <c r="I4" s="124" t="s">
        <v>1293</v>
      </c>
      <c r="J4" s="124"/>
    </row>
    <row r="5" spans="1:12" ht="16.2" thickBot="1" x14ac:dyDescent="0.35"/>
    <row r="6" spans="1:12" ht="31.8" thickBot="1" x14ac:dyDescent="0.35">
      <c r="A6" s="15" t="s">
        <v>29</v>
      </c>
      <c r="B6" s="126"/>
      <c r="F6" s="15" t="s">
        <v>30</v>
      </c>
      <c r="G6" s="124"/>
      <c r="I6" s="15" t="s">
        <v>31</v>
      </c>
      <c r="J6" s="16">
        <v>2027</v>
      </c>
    </row>
    <row r="7" spans="1:12" ht="31.8" thickBot="1" x14ac:dyDescent="0.35">
      <c r="A7" s="15" t="s">
        <v>32</v>
      </c>
      <c r="B7" s="138" t="e">
        <f>I17</f>
        <v>#VALUE!</v>
      </c>
      <c r="F7" s="15" t="s">
        <v>33</v>
      </c>
      <c r="G7" s="114" t="e">
        <f>ROUND(IF($I$4="SDG&amp;E",IF($B$4="Distribution regulator station(s) only", INDEX('SDGE Costs Data'!F15:J15,MATCH('SDGE Calculations'!$D$4,'SDGE Costs Data'!F$5:J$5, 0)), INDEX('SDGE Costs Data'!F14:J14,MATCH('SDGE Calculations'!$D$4,'SDGE Costs Data'!F$5:J$5, 0))), "")/365,0)</f>
        <v>#N/A</v>
      </c>
      <c r="I7" s="20" t="s">
        <v>34</v>
      </c>
      <c r="J7" s="16">
        <v>7.2499999999999995E-2</v>
      </c>
    </row>
    <row r="8" spans="1:12" ht="63" thickBot="1" x14ac:dyDescent="0.35">
      <c r="A8" s="15" t="s">
        <v>35</v>
      </c>
      <c r="B8" s="139" t="str">
        <f>IFERROR(B7/B6,"")</f>
        <v/>
      </c>
      <c r="F8" s="15" t="s">
        <v>36</v>
      </c>
      <c r="G8" s="124"/>
      <c r="I8" s="20" t="s">
        <v>37</v>
      </c>
      <c r="J8" s="16">
        <f>J7</f>
        <v>7.2499999999999995E-2</v>
      </c>
    </row>
    <row r="9" spans="1:12" ht="47.4" thickBot="1" x14ac:dyDescent="0.35">
      <c r="E9" s="1"/>
      <c r="F9" s="20" t="s">
        <v>38</v>
      </c>
      <c r="G9" s="124"/>
      <c r="I9" s="51" t="s">
        <v>39</v>
      </c>
      <c r="J9" s="16">
        <v>0.04</v>
      </c>
    </row>
    <row r="10" spans="1:12" ht="16.2" thickBot="1" x14ac:dyDescent="0.35">
      <c r="E10" s="1"/>
      <c r="J10" s="137"/>
      <c r="K10" s="137"/>
    </row>
    <row r="11" spans="1:12" ht="33" customHeight="1" thickBot="1" x14ac:dyDescent="0.35">
      <c r="A11" s="10" t="s">
        <v>4</v>
      </c>
      <c r="J11" s="277" t="s">
        <v>40</v>
      </c>
      <c r="K11" s="278"/>
    </row>
    <row r="12" spans="1:12" ht="78.599999999999994" thickBot="1" x14ac:dyDescent="0.35">
      <c r="A12" s="2" t="s">
        <v>41</v>
      </c>
      <c r="B12" s="3" t="s">
        <v>42</v>
      </c>
      <c r="C12" s="3" t="s">
        <v>43</v>
      </c>
      <c r="D12" s="3" t="s">
        <v>44</v>
      </c>
      <c r="E12" s="3" t="s">
        <v>45</v>
      </c>
      <c r="F12" s="3" t="s">
        <v>46</v>
      </c>
      <c r="G12" s="3" t="s">
        <v>47</v>
      </c>
      <c r="H12" s="3" t="s">
        <v>48</v>
      </c>
      <c r="I12" s="3" t="s">
        <v>49</v>
      </c>
      <c r="J12" s="3" t="s">
        <v>50</v>
      </c>
      <c r="K12" s="3" t="s">
        <v>51</v>
      </c>
      <c r="L12" s="3" t="s">
        <v>52</v>
      </c>
    </row>
    <row r="13" spans="1:12" ht="16.2" thickBot="1" x14ac:dyDescent="0.35">
      <c r="A13" s="120" t="s">
        <v>54</v>
      </c>
      <c r="B13" s="5" t="s">
        <v>55</v>
      </c>
      <c r="C13" s="125" t="s">
        <v>1478</v>
      </c>
      <c r="D13" s="140" t="e">
        <f>IF($I$4="SDG&amp;E",IF($B$4="Distribution services only", INDEX('SDGE Costs Data'!$F9:$J9,MATCH('SDGE Calculations'!$D$4,'SDGE Costs Data'!$F$5:$J$5,0)), IF(OR($D$4="Northeast",$D$4="Metro", $D$4="Beach Cities"), 0, INDEX('SDGE Costs Data'!$F9:$J9,MATCH('SDGE Calculations'!$D$4,'SDGE Costs Data'!$F$5:$J$5,0)))), "")</f>
        <v>#N/A</v>
      </c>
      <c r="E13" s="140" t="e">
        <f>C13*D13*(1+'SDGE Calculations'!$J$9)^('SDGE Calculations'!$G$6-2022)</f>
        <v>#VALUE!</v>
      </c>
      <c r="F13" s="140">
        <f>'SDGE NPV Calc Details'!$E$3</f>
        <v>0</v>
      </c>
      <c r="G13" s="141"/>
      <c r="H13" s="141"/>
      <c r="I13" s="56">
        <f>F13</f>
        <v>0</v>
      </c>
      <c r="J13" s="142"/>
      <c r="K13" s="142"/>
      <c r="L13" s="56">
        <f>SUM(I13:K13)</f>
        <v>0</v>
      </c>
    </row>
    <row r="14" spans="1:12" ht="16.2" thickBot="1" x14ac:dyDescent="0.35">
      <c r="A14" s="120" t="s">
        <v>56</v>
      </c>
      <c r="B14" s="5" t="s">
        <v>57</v>
      </c>
      <c r="C14" s="125" t="s">
        <v>1479</v>
      </c>
      <c r="D14" s="140" t="e">
        <f>IF($I$4="SDG&amp;E",IF($B$4="Distribution services only", 0, IF(OR($D$4="Northeast",$D$4="Metro", $D$4="Beach Cities"),  INDEX('SDGE Costs Data'!F11:J11,MATCH('SDGE Calculations'!$D$4,'SDGE Costs Data'!F$5:J$5, 0)), INDEX('SDGE Costs Data'!F10:J10,MATCH('SDGE Calculations'!$D$4,'SDGE Costs Data'!F$5:J$5, 0)))), "")</f>
        <v>#N/A</v>
      </c>
      <c r="E14" s="140" t="e">
        <f>C14*D14*(1+'SDGE Calculations'!$J$9)^('SDGE Calculations'!$G$6-2022)</f>
        <v>#VALUE!</v>
      </c>
      <c r="F14" s="140" t="e">
        <f>'SDGE NPV Calc Details'!$J$3</f>
        <v>#VALUE!</v>
      </c>
      <c r="G14" s="141"/>
      <c r="H14" s="141"/>
      <c r="I14" s="56" t="e">
        <f>F14</f>
        <v>#VALUE!</v>
      </c>
      <c r="J14" s="142"/>
      <c r="K14" s="142"/>
      <c r="L14" s="56" t="e">
        <f t="shared" ref="L14:L16" si="0">SUM(I14:K14)</f>
        <v>#VALUE!</v>
      </c>
    </row>
    <row r="15" spans="1:12" ht="31.8" thickBot="1" x14ac:dyDescent="0.35">
      <c r="A15" s="120" t="s">
        <v>58</v>
      </c>
      <c r="B15" s="5" t="s">
        <v>59</v>
      </c>
      <c r="C15" s="125" t="s">
        <v>1480</v>
      </c>
      <c r="D15" s="140" t="e">
        <f>IF($I$4="SDG&amp;E",IF(OR($B$4="Distribution mains and services", $B$4="Distribution mains only", $B$4="Distribution services only"), 0, INDEX('SDGE Costs Data'!F12:J12,MATCH('SDGE Calculations'!$D$4,'SDGE Costs Data'!F$5:J$5, 0))), "")</f>
        <v>#N/A</v>
      </c>
      <c r="E15" s="56" t="str">
        <f>IFERROR(C15*D15*(1+'SDGE Calculations'!$J$9)^('SDGE Calculations'!$G$6-2022), "")</f>
        <v/>
      </c>
      <c r="F15" s="140" t="str">
        <f>IFERROR('SDGE NPV Calc Details'!$N$3, "Not calculable")</f>
        <v>Not calculable</v>
      </c>
      <c r="G15" s="141"/>
      <c r="H15" s="141"/>
      <c r="I15" s="56" t="str">
        <f>F15</f>
        <v>Not calculable</v>
      </c>
      <c r="J15" s="142"/>
      <c r="K15" s="142"/>
      <c r="L15" s="56">
        <f t="shared" si="0"/>
        <v>0</v>
      </c>
    </row>
    <row r="16" spans="1:12" ht="31.8" thickBot="1" x14ac:dyDescent="0.35">
      <c r="A16" s="120" t="s">
        <v>60</v>
      </c>
      <c r="B16" s="5" t="s">
        <v>61</v>
      </c>
      <c r="C16" s="11"/>
      <c r="D16" s="141"/>
      <c r="E16" s="143"/>
      <c r="F16" s="141"/>
      <c r="G16" s="140">
        <f>$B$6 * IF($I$4="SDG&amp;E",'SDGE Costs Data'!$K$13*$B$6, "")</f>
        <v>0</v>
      </c>
      <c r="H16" s="140">
        <f>'SDGE NPV Calc Details'!$Q$3</f>
        <v>0</v>
      </c>
      <c r="I16" s="56">
        <f>H16</f>
        <v>0</v>
      </c>
      <c r="J16" s="142"/>
      <c r="K16" s="142"/>
      <c r="L16" s="56">
        <f t="shared" si="0"/>
        <v>0</v>
      </c>
    </row>
    <row r="17" spans="1:12" ht="16.2" thickBot="1" x14ac:dyDescent="0.35">
      <c r="A17" s="120" t="s">
        <v>62</v>
      </c>
      <c r="B17" s="5" t="s">
        <v>63</v>
      </c>
      <c r="C17" s="135"/>
      <c r="D17" s="135"/>
      <c r="E17" s="144" t="e">
        <f>SUM(E13:E16)</f>
        <v>#VALUE!</v>
      </c>
      <c r="F17" s="144" t="e">
        <f t="shared" ref="F17:L17" si="1">SUM(F13:F16)</f>
        <v>#VALUE!</v>
      </c>
      <c r="G17" s="144">
        <f t="shared" si="1"/>
        <v>0</v>
      </c>
      <c r="H17" s="144">
        <f t="shared" si="1"/>
        <v>0</v>
      </c>
      <c r="I17" s="145" t="e">
        <f t="shared" si="1"/>
        <v>#VALUE!</v>
      </c>
      <c r="J17" s="85">
        <f t="shared" si="1"/>
        <v>0</v>
      </c>
      <c r="K17" s="85">
        <f t="shared" si="1"/>
        <v>0</v>
      </c>
      <c r="L17" s="85" t="e">
        <f t="shared" si="1"/>
        <v>#VALUE!</v>
      </c>
    </row>
    <row r="18" spans="1:12" x14ac:dyDescent="0.3">
      <c r="A18" s="8"/>
      <c r="B18" s="8"/>
      <c r="C18" s="8"/>
      <c r="D18" s="8"/>
      <c r="E18" s="8"/>
      <c r="F18" s="8"/>
      <c r="G18" s="8"/>
    </row>
    <row r="19" spans="1:12" x14ac:dyDescent="0.3">
      <c r="A19" s="8"/>
      <c r="B19" s="8"/>
      <c r="C19" s="8"/>
      <c r="D19" s="8"/>
      <c r="E19" s="8"/>
      <c r="F19" s="8"/>
      <c r="G19" s="8"/>
    </row>
    <row r="20" spans="1:12" x14ac:dyDescent="0.3">
      <c r="A20" s="9"/>
      <c r="B20" s="8"/>
      <c r="C20" s="8"/>
      <c r="D20" s="8"/>
      <c r="E20" s="8"/>
      <c r="F20" s="8"/>
      <c r="G20" s="8"/>
    </row>
    <row r="21" spans="1:12" x14ac:dyDescent="0.3">
      <c r="A21" s="1"/>
    </row>
    <row r="23" spans="1:12" x14ac:dyDescent="0.3">
      <c r="A23" s="1"/>
    </row>
  </sheetData>
  <mergeCells count="1">
    <mergeCell ref="J11:K11"/>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xr:uid="{CDD7256B-21A0-4975-B22E-9BD1964B6ED4}">
          <x14:formula1>
            <xm:f>'Drop-Down Menus'!$A$3:$A$6</xm:f>
          </x14:formula1>
          <xm:sqref>I4</xm:sqref>
        </x14:dataValidation>
        <x14:dataValidation type="list" allowBlank="1" showInputMessage="1" showErrorMessage="1" xr:uid="{50C76BD5-862D-42F6-8CCE-7E8885E2F6EC}">
          <x14:formula1>
            <xm:f>'Drop-Down Menus'!$C$3:$C$79</xm:f>
          </x14:formula1>
          <xm:sqref>D4</xm:sqref>
        </x14:dataValidation>
        <x14:dataValidation type="list" allowBlank="1" showInputMessage="1" showErrorMessage="1" xr:uid="{AFB04F56-8219-4770-9A64-FFFEFA153DEC}">
          <x14:formula1>
            <xm:f>'Drop-Down Menus'!$B$3:$B$9</xm:f>
          </x14:formula1>
          <xm:sqref>B4</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C91258-AAA6-492F-9E9E-43015BA96FC2}">
  <dimension ref="A1:Q103"/>
  <sheetViews>
    <sheetView workbookViewId="0"/>
  </sheetViews>
  <sheetFormatPr defaultRowHeight="14.4" x14ac:dyDescent="0.3"/>
  <cols>
    <col min="1" max="1" width="9.5546875" customWidth="1"/>
    <col min="2" max="2" width="10.44140625" bestFit="1" customWidth="1"/>
    <col min="3" max="16" width="17.44140625" customWidth="1"/>
    <col min="17" max="17" width="21.44140625" customWidth="1"/>
  </cols>
  <sheetData>
    <row r="1" spans="1:17" ht="16.2" thickBot="1" x14ac:dyDescent="0.35">
      <c r="A1" s="64"/>
      <c r="B1" s="64"/>
      <c r="C1" s="279" t="s">
        <v>64</v>
      </c>
      <c r="D1" s="279"/>
      <c r="E1" s="279"/>
      <c r="F1" s="279"/>
      <c r="G1" s="279" t="s">
        <v>65</v>
      </c>
      <c r="H1" s="279"/>
      <c r="I1" s="279"/>
      <c r="J1" s="279"/>
      <c r="K1" s="279" t="s">
        <v>66</v>
      </c>
      <c r="L1" s="279"/>
      <c r="M1" s="279"/>
      <c r="N1" s="279"/>
      <c r="O1" s="279" t="s">
        <v>67</v>
      </c>
      <c r="P1" s="279"/>
      <c r="Q1" s="279"/>
    </row>
    <row r="2" spans="1:17" ht="63" thickBot="1" x14ac:dyDescent="0.35">
      <c r="A2" s="15" t="s">
        <v>68</v>
      </c>
      <c r="B2" s="15" t="s">
        <v>69</v>
      </c>
      <c r="C2" s="15" t="s">
        <v>70</v>
      </c>
      <c r="D2" s="15" t="s">
        <v>71</v>
      </c>
      <c r="E2" s="15" t="s">
        <v>72</v>
      </c>
      <c r="F2" s="15" t="s">
        <v>73</v>
      </c>
      <c r="G2" s="15" t="s">
        <v>70</v>
      </c>
      <c r="H2" s="15" t="s">
        <v>71</v>
      </c>
      <c r="I2" s="15" t="s">
        <v>73</v>
      </c>
      <c r="J2" s="15" t="s">
        <v>73</v>
      </c>
      <c r="K2" s="15" t="s">
        <v>70</v>
      </c>
      <c r="L2" s="15" t="s">
        <v>71</v>
      </c>
      <c r="M2" s="15" t="s">
        <v>73</v>
      </c>
      <c r="N2" s="15" t="s">
        <v>73</v>
      </c>
      <c r="O2" s="15" t="s">
        <v>74</v>
      </c>
      <c r="P2" s="15" t="s">
        <v>71</v>
      </c>
      <c r="Q2" s="15" t="s">
        <v>75</v>
      </c>
    </row>
    <row r="3" spans="1:17" ht="16.2" thickBot="1" x14ac:dyDescent="0.35">
      <c r="A3" s="154" t="s">
        <v>63</v>
      </c>
      <c r="B3" s="3"/>
      <c r="C3" s="155" t="e">
        <f>SUM(C4:C103)</f>
        <v>#N/A</v>
      </c>
      <c r="D3" s="156" t="e">
        <f t="shared" ref="D3" si="0">SUM(D4:D103)</f>
        <v>#VALUE!</v>
      </c>
      <c r="E3" s="156">
        <f>_xlfn.AGGREGATE(9,6,E4:E103)</f>
        <v>0</v>
      </c>
      <c r="F3" s="157" t="e">
        <f>('SDGE Calculations'!$E$13)*(1/((1+'SDGE Calculations'!$J$7)^('SDGE Calculations'!$G$6-'SDGE Calculations'!$J$6-1)))</f>
        <v>#VALUE!</v>
      </c>
      <c r="G3" s="155" t="e">
        <f>SUM(G4:G103)</f>
        <v>#N/A</v>
      </c>
      <c r="H3" s="156" t="e">
        <f t="shared" ref="H3" si="1">SUM(H4:H103)</f>
        <v>#VALUE!</v>
      </c>
      <c r="I3" s="156">
        <f>_xlfn.AGGREGATE(9,6,I4:I103)</f>
        <v>0</v>
      </c>
      <c r="J3" s="157" t="e">
        <f>('SDGE Calculations'!$E$14)*(1/((1+'SDGE Calculations'!$J$7)^('SDGE Calculations'!$G$6-'SDGE Calculations'!$J$6-1)))</f>
        <v>#VALUE!</v>
      </c>
      <c r="K3" s="155" t="e">
        <f>SUM(K4:K103)</f>
        <v>#N/A</v>
      </c>
      <c r="L3" s="156" t="e">
        <f t="shared" ref="L3" si="2">SUM(L4:L103)</f>
        <v>#VALUE!</v>
      </c>
      <c r="M3" s="156">
        <f>_xlfn.AGGREGATE(9,6,M4:M103)</f>
        <v>0</v>
      </c>
      <c r="N3" s="157" t="e">
        <f>('SDGE Calculations'!$E$15)*(1/((1+'SDGE Calculations'!$J$7)^('SDGE Calculations'!$G$6-'SDGE Calculations'!$J$6-1)))</f>
        <v>#VALUE!</v>
      </c>
      <c r="O3" s="155" t="e">
        <f>SUM(O4:O103)</f>
        <v>#N/A</v>
      </c>
      <c r="P3" s="156" t="e">
        <f t="shared" ref="P3" si="3">SUM(P4:P103)</f>
        <v>#N/A</v>
      </c>
      <c r="Q3" s="157">
        <f>_xlfn.AGGREGATE(9,6,Q4:Q103)</f>
        <v>0</v>
      </c>
    </row>
    <row r="4" spans="1:17" ht="15.6" x14ac:dyDescent="0.3">
      <c r="A4" s="148">
        <v>1</v>
      </c>
      <c r="B4" s="63" t="e">
        <f t="array" ref="B4:B47">_xlfn.SEQUENCE('SDGE Calculations'!$G$8+'SDGE Calculations'!$G$7, 1, 'SDGE Calculations'!$G$6-'SDGE Calculations'!$J$6)</f>
        <v>#N/A</v>
      </c>
      <c r="C4" s="149" t="e" cm="1">
        <f t="array" ref="C4">_xlfn.SEQUENCE('SDGE Calculations'!$G$8+'SDGE Calculations'!$G$7, 1, 'SDGE Calculations'!$E$13/('SDGE Calculations'!$G$8+'SDGE Calculations'!$G$7),0)</f>
        <v>#N/A</v>
      </c>
      <c r="D4" s="136" t="e" cm="1">
        <f t="array" ref="D4">'SDGE Calculations'!$J$7*_xlfn.LAMBDA(_xlpm.i,'SDGE Calculations'!$E$13-($C$4)*(_xlpm.i-1))(_xlfn.SEQUENCE('SDGE Calculations'!$G$8+'SDGE Calculations'!$G$7))</f>
        <v>#VALUE!</v>
      </c>
      <c r="E4" s="136" t="e">
        <f>(C4+D4)*(1/((1+'SDGE Calculations'!$J$8)^$B4))</f>
        <v>#N/A</v>
      </c>
      <c r="F4" s="150"/>
      <c r="G4" s="149" t="e" cm="1">
        <f t="array" ref="G4">_xlfn.SEQUENCE('SDGE Calculations'!$G$8+'SDGE Calculations'!$G$7, 1, 'SDGE Calculations'!$E$14/('SDGE Calculations'!$G$8+'SDGE Calculations'!$G$7),0)</f>
        <v>#N/A</v>
      </c>
      <c r="H4" s="136" t="e" cm="1">
        <f t="array" ref="H4">'SDGE Calculations'!$J$7*_xlfn.LAMBDA(_xlpm.i,'SDGE Calculations'!$E$14-($G$4)*(_xlpm.i-1))(_xlfn.SEQUENCE('SDGE Calculations'!$G$8+'SDGE Calculations'!$G$7))</f>
        <v>#VALUE!</v>
      </c>
      <c r="I4" s="136" t="e">
        <f>(G4+H4)*(1/((1+'SDGE Calculations'!$J$8)^$B4))</f>
        <v>#N/A</v>
      </c>
      <c r="J4" s="150"/>
      <c r="K4" s="149" t="e" cm="1">
        <f t="array" ref="K4">_xlfn.SEQUENCE('SDGE Calculations'!$G$8+'SDGE Calculations'!$G$7, 1, 'SDGE Calculations'!$E$15/('SDGE Calculations'!$G$8+'SDGE Calculations'!$G$7),0)</f>
        <v>#N/A</v>
      </c>
      <c r="L4" s="136" t="e" cm="1">
        <f t="array" ref="L4">'SDGE Calculations'!$J$7*_xlfn.LAMBDA(_xlpm.i,'SDGE Calculations'!$E$15-($K$4)*(_xlpm.i-1))(_xlfn.SEQUENCE('SDGE Calculations'!$G$8+'SDGE Calculations'!$G$7))</f>
        <v>#VALUE!</v>
      </c>
      <c r="M4" s="136" t="e">
        <f>(K4+L4)*(1/((1+'SDGE Calculations'!$J$8)^$B4))</f>
        <v>#N/A</v>
      </c>
      <c r="N4" s="150"/>
      <c r="O4" s="149" t="e" cm="1">
        <f t="array" ref="O4">_xlfn.SEQUENCE('SDGE Calculations'!$G$8+'SDGE Calculations'!$G$7, 1, 'SDGE Calculations'!$G$16,0)</f>
        <v>#N/A</v>
      </c>
      <c r="P4" s="136" t="e" cm="1">
        <f t="array" ref="P4">_xlfn.SEQUENCE('SDGE Calculations'!$G$8+'SDGE Calculations'!$G$7, 1, O4*'SDGE Calculations'!$J$7,0)</f>
        <v>#N/A</v>
      </c>
      <c r="Q4" s="150" t="e">
        <f>(O4+P4)*(1/((1+'SDGE Calculations'!$J$8)^$B4))</f>
        <v>#N/A</v>
      </c>
    </row>
    <row r="5" spans="1:17" ht="15.6" x14ac:dyDescent="0.3">
      <c r="A5" s="148">
        <v>2</v>
      </c>
      <c r="B5" s="63" t="e">
        <v>#N/A</v>
      </c>
      <c r="C5" s="149"/>
      <c r="D5" s="136"/>
      <c r="E5" s="136" t="e">
        <f>(C5+D5)*(1/((1+'SDGE Calculations'!$J$8)^$B5))</f>
        <v>#N/A</v>
      </c>
      <c r="F5" s="150"/>
      <c r="G5" s="149"/>
      <c r="H5" s="136"/>
      <c r="I5" s="136" t="e">
        <f>(G5+H5)*(1/((1+'SDGE Calculations'!$J$8)^$B5))</f>
        <v>#N/A</v>
      </c>
      <c r="J5" s="150"/>
      <c r="K5" s="149"/>
      <c r="L5" s="136"/>
      <c r="M5" s="136" t="e">
        <f>(K5+L5)*(1/((1+'SDGE Calculations'!$J$8)^$B5))</f>
        <v>#N/A</v>
      </c>
      <c r="N5" s="150"/>
      <c r="O5" s="149"/>
      <c r="P5" s="136"/>
      <c r="Q5" s="150" t="e">
        <f>(O5+P5)*(1/((1+'SDGE Calculations'!$J$8)^$B5))</f>
        <v>#N/A</v>
      </c>
    </row>
    <row r="6" spans="1:17" ht="15.6" x14ac:dyDescent="0.3">
      <c r="A6" s="148">
        <v>3</v>
      </c>
      <c r="B6" s="63" t="e">
        <v>#N/A</v>
      </c>
      <c r="C6" s="149"/>
      <c r="D6" s="136"/>
      <c r="E6" s="136" t="e">
        <f>(C6+D6)*(1/((1+'SDGE Calculations'!$J$8)^$B6))</f>
        <v>#N/A</v>
      </c>
      <c r="F6" s="150"/>
      <c r="G6" s="149"/>
      <c r="H6" s="136"/>
      <c r="I6" s="136" t="e">
        <f>(G6+H6)*(1/((1+'SDGE Calculations'!$J$8)^$B6))</f>
        <v>#N/A</v>
      </c>
      <c r="J6" s="150"/>
      <c r="K6" s="149"/>
      <c r="L6" s="136"/>
      <c r="M6" s="136" t="e">
        <f>(K6+L6)*(1/((1+'SDGE Calculations'!$J$8)^$B6))</f>
        <v>#N/A</v>
      </c>
      <c r="N6" s="150"/>
      <c r="O6" s="149"/>
      <c r="P6" s="136"/>
      <c r="Q6" s="150" t="e">
        <f>(O6+P6)*(1/((1+'SDGE Calculations'!$J$8)^$B6))</f>
        <v>#N/A</v>
      </c>
    </row>
    <row r="7" spans="1:17" ht="15.6" x14ac:dyDescent="0.3">
      <c r="A7" s="148">
        <v>4</v>
      </c>
      <c r="B7" s="63" t="e">
        <v>#N/A</v>
      </c>
      <c r="C7" s="149"/>
      <c r="D7" s="136"/>
      <c r="E7" s="136" t="e">
        <f>(C7+D7)*(1/((1+'SDGE Calculations'!$J$8)^$B7))</f>
        <v>#N/A</v>
      </c>
      <c r="F7" s="150"/>
      <c r="G7" s="149"/>
      <c r="H7" s="136"/>
      <c r="I7" s="136" t="e">
        <f>(G7+H7)*(1/((1+'SDGE Calculations'!$J$8)^$B7))</f>
        <v>#N/A</v>
      </c>
      <c r="J7" s="150"/>
      <c r="K7" s="149"/>
      <c r="L7" s="136"/>
      <c r="M7" s="136" t="e">
        <f>(K7+L7)*(1/((1+'SDGE Calculations'!$J$8)^$B7))</f>
        <v>#N/A</v>
      </c>
      <c r="N7" s="150"/>
      <c r="O7" s="149"/>
      <c r="P7" s="136"/>
      <c r="Q7" s="150" t="e">
        <f>(O7+P7)*(1/((1+'SDGE Calculations'!$J$8)^$B7))</f>
        <v>#N/A</v>
      </c>
    </row>
    <row r="8" spans="1:17" ht="15.6" x14ac:dyDescent="0.3">
      <c r="A8" s="148">
        <v>5</v>
      </c>
      <c r="B8" s="63" t="e">
        <v>#N/A</v>
      </c>
      <c r="C8" s="149"/>
      <c r="D8" s="136"/>
      <c r="E8" s="136" t="e">
        <f>(C8+D8)*(1/((1+'SDGE Calculations'!$J$8)^$B8))</f>
        <v>#N/A</v>
      </c>
      <c r="F8" s="150"/>
      <c r="G8" s="149"/>
      <c r="H8" s="136"/>
      <c r="I8" s="136" t="e">
        <f>(G8+H8)*(1/((1+'SDGE Calculations'!$J$8)^$B8))</f>
        <v>#N/A</v>
      </c>
      <c r="J8" s="150"/>
      <c r="K8" s="149"/>
      <c r="L8" s="136"/>
      <c r="M8" s="136" t="e">
        <f>(K8+L8)*(1/((1+'SDGE Calculations'!$J$8)^$B8))</f>
        <v>#N/A</v>
      </c>
      <c r="N8" s="150"/>
      <c r="O8" s="149"/>
      <c r="P8" s="136"/>
      <c r="Q8" s="150" t="e">
        <f>(O8+P8)*(1/((1+'SDGE Calculations'!$J$8)^$B8))</f>
        <v>#N/A</v>
      </c>
    </row>
    <row r="9" spans="1:17" ht="15.6" x14ac:dyDescent="0.3">
      <c r="A9" s="148">
        <v>6</v>
      </c>
      <c r="B9" s="63" t="e">
        <v>#N/A</v>
      </c>
      <c r="C9" s="149"/>
      <c r="D9" s="136"/>
      <c r="E9" s="136" t="e">
        <f>(C9+D9)*(1/((1+'SDGE Calculations'!$J$8)^$B9))</f>
        <v>#N/A</v>
      </c>
      <c r="F9" s="150"/>
      <c r="G9" s="149"/>
      <c r="H9" s="136"/>
      <c r="I9" s="136" t="e">
        <f>(G9+H9)*(1/((1+'SDGE Calculations'!$J$8)^$B9))</f>
        <v>#N/A</v>
      </c>
      <c r="J9" s="150"/>
      <c r="K9" s="149"/>
      <c r="L9" s="136"/>
      <c r="M9" s="136" t="e">
        <f>(K9+L9)*(1/((1+'SDGE Calculations'!$J$8)^$B9))</f>
        <v>#N/A</v>
      </c>
      <c r="N9" s="150"/>
      <c r="O9" s="149"/>
      <c r="P9" s="136"/>
      <c r="Q9" s="150" t="e">
        <f>(O9+P9)*(1/((1+'SDGE Calculations'!$J$8)^$B9))</f>
        <v>#N/A</v>
      </c>
    </row>
    <row r="10" spans="1:17" ht="15.6" x14ac:dyDescent="0.3">
      <c r="A10" s="148">
        <v>7</v>
      </c>
      <c r="B10" s="63" t="e">
        <v>#N/A</v>
      </c>
      <c r="C10" s="149"/>
      <c r="D10" s="136"/>
      <c r="E10" s="136" t="e">
        <f>(C10+D10)*(1/((1+'SDGE Calculations'!$J$8)^$B10))</f>
        <v>#N/A</v>
      </c>
      <c r="F10" s="150"/>
      <c r="G10" s="149"/>
      <c r="H10" s="136"/>
      <c r="I10" s="136" t="e">
        <f>(G10+H10)*(1/((1+'SDGE Calculations'!$J$8)^$B10))</f>
        <v>#N/A</v>
      </c>
      <c r="J10" s="150"/>
      <c r="K10" s="149"/>
      <c r="L10" s="136"/>
      <c r="M10" s="136" t="e">
        <f>(K10+L10)*(1/((1+'SDGE Calculations'!$J$8)^$B10))</f>
        <v>#N/A</v>
      </c>
      <c r="N10" s="150"/>
      <c r="O10" s="149"/>
      <c r="P10" s="136"/>
      <c r="Q10" s="150" t="e">
        <f>(O10+P10)*(1/((1+'SDGE Calculations'!$J$8)^$B10))</f>
        <v>#N/A</v>
      </c>
    </row>
    <row r="11" spans="1:17" ht="15.6" x14ac:dyDescent="0.3">
      <c r="A11" s="148">
        <v>8</v>
      </c>
      <c r="B11" s="63" t="e">
        <v>#N/A</v>
      </c>
      <c r="C11" s="149"/>
      <c r="D11" s="136"/>
      <c r="E11" s="136" t="e">
        <f>(C11+D11)*(1/((1+'SDGE Calculations'!$J$8)^$B11))</f>
        <v>#N/A</v>
      </c>
      <c r="F11" s="150"/>
      <c r="G11" s="149"/>
      <c r="H11" s="136"/>
      <c r="I11" s="136" t="e">
        <f>(G11+H11)*(1/((1+'SDGE Calculations'!$J$8)^$B11))</f>
        <v>#N/A</v>
      </c>
      <c r="J11" s="150"/>
      <c r="K11" s="149"/>
      <c r="L11" s="136"/>
      <c r="M11" s="136" t="e">
        <f>(K11+L11)*(1/((1+'SDGE Calculations'!$J$8)^$B11))</f>
        <v>#N/A</v>
      </c>
      <c r="N11" s="150"/>
      <c r="O11" s="149"/>
      <c r="P11" s="136"/>
      <c r="Q11" s="150" t="e">
        <f>(O11+P11)*(1/((1+'SDGE Calculations'!$J$8)^$B11))</f>
        <v>#N/A</v>
      </c>
    </row>
    <row r="12" spans="1:17" ht="15.6" x14ac:dyDescent="0.3">
      <c r="A12" s="148">
        <v>9</v>
      </c>
      <c r="B12" s="63" t="e">
        <v>#N/A</v>
      </c>
      <c r="C12" s="149"/>
      <c r="D12" s="136"/>
      <c r="E12" s="136" t="e">
        <f>(C12+D12)*(1/((1+'SDGE Calculations'!$J$8)^$B12))</f>
        <v>#N/A</v>
      </c>
      <c r="F12" s="150"/>
      <c r="G12" s="149"/>
      <c r="H12" s="136"/>
      <c r="I12" s="136" t="e">
        <f>(G12+H12)*(1/((1+'SDGE Calculations'!$J$8)^$B12))</f>
        <v>#N/A</v>
      </c>
      <c r="J12" s="150"/>
      <c r="K12" s="149"/>
      <c r="L12" s="136"/>
      <c r="M12" s="136" t="e">
        <f>(K12+L12)*(1/((1+'SDGE Calculations'!$J$8)^$B12))</f>
        <v>#N/A</v>
      </c>
      <c r="N12" s="150"/>
      <c r="O12" s="149"/>
      <c r="P12" s="136"/>
      <c r="Q12" s="150" t="e">
        <f>(O12+P12)*(1/((1+'SDGE Calculations'!$J$8)^$B12))</f>
        <v>#N/A</v>
      </c>
    </row>
    <row r="13" spans="1:17" ht="15.6" x14ac:dyDescent="0.3">
      <c r="A13" s="148">
        <v>10</v>
      </c>
      <c r="B13" s="63" t="e">
        <v>#N/A</v>
      </c>
      <c r="C13" s="149"/>
      <c r="D13" s="136"/>
      <c r="E13" s="136" t="e">
        <f>(C13+D13)*(1/((1+'SDGE Calculations'!$J$8)^$B13))</f>
        <v>#N/A</v>
      </c>
      <c r="F13" s="150"/>
      <c r="G13" s="149"/>
      <c r="H13" s="136"/>
      <c r="I13" s="136" t="e">
        <f>(G13+H13)*(1/((1+'SDGE Calculations'!$J$8)^$B13))</f>
        <v>#N/A</v>
      </c>
      <c r="J13" s="150"/>
      <c r="K13" s="149"/>
      <c r="L13" s="136"/>
      <c r="M13" s="136" t="e">
        <f>(K13+L13)*(1/((1+'SDGE Calculations'!$J$8)^$B13))</f>
        <v>#N/A</v>
      </c>
      <c r="N13" s="150"/>
      <c r="O13" s="149"/>
      <c r="P13" s="136"/>
      <c r="Q13" s="150" t="e">
        <f>(O13+P13)*(1/((1+'SDGE Calculations'!$J$8)^$B13))</f>
        <v>#N/A</v>
      </c>
    </row>
    <row r="14" spans="1:17" ht="15.6" x14ac:dyDescent="0.3">
      <c r="A14" s="148">
        <v>11</v>
      </c>
      <c r="B14" s="63" t="e">
        <v>#N/A</v>
      </c>
      <c r="C14" s="149"/>
      <c r="D14" s="136"/>
      <c r="E14" s="136" t="e">
        <f>(C14+D14)*(1/((1+'SDGE Calculations'!$J$8)^$B14))</f>
        <v>#N/A</v>
      </c>
      <c r="F14" s="150"/>
      <c r="G14" s="149"/>
      <c r="H14" s="136"/>
      <c r="I14" s="136" t="e">
        <f>(G14+H14)*(1/((1+'SDGE Calculations'!$J$8)^$B14))</f>
        <v>#N/A</v>
      </c>
      <c r="J14" s="150"/>
      <c r="K14" s="149"/>
      <c r="L14" s="136"/>
      <c r="M14" s="136" t="e">
        <f>(K14+L14)*(1/((1+'SDGE Calculations'!$J$8)^$B14))</f>
        <v>#N/A</v>
      </c>
      <c r="N14" s="150"/>
      <c r="O14" s="149"/>
      <c r="P14" s="136"/>
      <c r="Q14" s="150" t="e">
        <f>(O14+P14)*(1/((1+'SDGE Calculations'!$J$8)^$B14))</f>
        <v>#N/A</v>
      </c>
    </row>
    <row r="15" spans="1:17" ht="15.6" x14ac:dyDescent="0.3">
      <c r="A15" s="148">
        <v>12</v>
      </c>
      <c r="B15" s="63" t="e">
        <v>#N/A</v>
      </c>
      <c r="C15" s="149"/>
      <c r="D15" s="136"/>
      <c r="E15" s="136" t="e">
        <f>(C15+D15)*(1/((1+'SDGE Calculations'!$J$8)^$B15))</f>
        <v>#N/A</v>
      </c>
      <c r="F15" s="150"/>
      <c r="G15" s="149"/>
      <c r="H15" s="136"/>
      <c r="I15" s="136" t="e">
        <f>(G15+H15)*(1/((1+'SDGE Calculations'!$J$8)^$B15))</f>
        <v>#N/A</v>
      </c>
      <c r="J15" s="150"/>
      <c r="K15" s="149"/>
      <c r="L15" s="136"/>
      <c r="M15" s="136" t="e">
        <f>(K15+L15)*(1/((1+'SDGE Calculations'!$J$8)^$B15))</f>
        <v>#N/A</v>
      </c>
      <c r="N15" s="150"/>
      <c r="O15" s="149"/>
      <c r="P15" s="136"/>
      <c r="Q15" s="150" t="e">
        <f>(O15+P15)*(1/((1+'SDGE Calculations'!$J$8)^$B15))</f>
        <v>#N/A</v>
      </c>
    </row>
    <row r="16" spans="1:17" ht="15.6" x14ac:dyDescent="0.3">
      <c r="A16" s="148">
        <v>13</v>
      </c>
      <c r="B16" s="63" t="e">
        <v>#N/A</v>
      </c>
      <c r="C16" s="149"/>
      <c r="D16" s="136"/>
      <c r="E16" s="136" t="e">
        <f>(C16+D16)*(1/((1+'SDGE Calculations'!$J$8)^$B16))</f>
        <v>#N/A</v>
      </c>
      <c r="F16" s="150"/>
      <c r="G16" s="149"/>
      <c r="H16" s="136"/>
      <c r="I16" s="136" t="e">
        <f>(G16+H16)*(1/((1+'SDGE Calculations'!$J$8)^$B16))</f>
        <v>#N/A</v>
      </c>
      <c r="J16" s="150"/>
      <c r="K16" s="149"/>
      <c r="L16" s="136"/>
      <c r="M16" s="136" t="e">
        <f>(K16+L16)*(1/((1+'SDGE Calculations'!$J$8)^$B16))</f>
        <v>#N/A</v>
      </c>
      <c r="N16" s="150"/>
      <c r="O16" s="149"/>
      <c r="P16" s="136"/>
      <c r="Q16" s="150" t="e">
        <f>(O16+P16)*(1/((1+'SDGE Calculations'!$J$8)^$B16))</f>
        <v>#N/A</v>
      </c>
    </row>
    <row r="17" spans="1:17" ht="15.6" x14ac:dyDescent="0.3">
      <c r="A17" s="148">
        <v>14</v>
      </c>
      <c r="B17" s="63" t="e">
        <v>#N/A</v>
      </c>
      <c r="C17" s="149"/>
      <c r="D17" s="136"/>
      <c r="E17" s="136" t="e">
        <f>(C17+D17)*(1/((1+'SDGE Calculations'!$J$8)^$B17))</f>
        <v>#N/A</v>
      </c>
      <c r="F17" s="150"/>
      <c r="G17" s="149"/>
      <c r="H17" s="136"/>
      <c r="I17" s="136" t="e">
        <f>(G17+H17)*(1/((1+'SDGE Calculations'!$J$8)^$B17))</f>
        <v>#N/A</v>
      </c>
      <c r="J17" s="150"/>
      <c r="K17" s="149"/>
      <c r="L17" s="136"/>
      <c r="M17" s="136" t="e">
        <f>(K17+L17)*(1/((1+'SDGE Calculations'!$J$8)^$B17))</f>
        <v>#N/A</v>
      </c>
      <c r="N17" s="150"/>
      <c r="O17" s="149"/>
      <c r="P17" s="136"/>
      <c r="Q17" s="150" t="e">
        <f>(O17+P17)*(1/((1+'SDGE Calculations'!$J$8)^$B17))</f>
        <v>#N/A</v>
      </c>
    </row>
    <row r="18" spans="1:17" ht="15.6" x14ac:dyDescent="0.3">
      <c r="A18" s="148">
        <v>15</v>
      </c>
      <c r="B18" s="63" t="e">
        <v>#N/A</v>
      </c>
      <c r="C18" s="149"/>
      <c r="D18" s="136"/>
      <c r="E18" s="136" t="e">
        <f>(C18+D18)*(1/((1+'SDGE Calculations'!$J$8)^$B18))</f>
        <v>#N/A</v>
      </c>
      <c r="F18" s="150"/>
      <c r="G18" s="149"/>
      <c r="H18" s="136"/>
      <c r="I18" s="136" t="e">
        <f>(G18+H18)*(1/((1+'SDGE Calculations'!$J$8)^$B18))</f>
        <v>#N/A</v>
      </c>
      <c r="J18" s="150"/>
      <c r="K18" s="149"/>
      <c r="L18" s="136"/>
      <c r="M18" s="136" t="e">
        <f>(K18+L18)*(1/((1+'SDGE Calculations'!$J$8)^$B18))</f>
        <v>#N/A</v>
      </c>
      <c r="N18" s="150"/>
      <c r="O18" s="149"/>
      <c r="P18" s="136"/>
      <c r="Q18" s="150" t="e">
        <f>(O18+P18)*(1/((1+'SDGE Calculations'!$J$8)^$B18))</f>
        <v>#N/A</v>
      </c>
    </row>
    <row r="19" spans="1:17" ht="15.6" x14ac:dyDescent="0.3">
      <c r="A19" s="148">
        <v>16</v>
      </c>
      <c r="B19" s="63" t="e">
        <v>#N/A</v>
      </c>
      <c r="C19" s="149"/>
      <c r="D19" s="136"/>
      <c r="E19" s="136" t="e">
        <f>(C19+D19)*(1/((1+'SDGE Calculations'!$J$8)^$B19))</f>
        <v>#N/A</v>
      </c>
      <c r="F19" s="150"/>
      <c r="G19" s="149"/>
      <c r="H19" s="136"/>
      <c r="I19" s="136" t="e">
        <f>(G19+H19)*(1/((1+'SDGE Calculations'!$J$8)^$B19))</f>
        <v>#N/A</v>
      </c>
      <c r="J19" s="150"/>
      <c r="K19" s="149"/>
      <c r="L19" s="136"/>
      <c r="M19" s="136" t="e">
        <f>(K19+L19)*(1/((1+'SDGE Calculations'!$J$8)^$B19))</f>
        <v>#N/A</v>
      </c>
      <c r="N19" s="150"/>
      <c r="O19" s="149"/>
      <c r="P19" s="136"/>
      <c r="Q19" s="150" t="e">
        <f>(O19+P19)*(1/((1+'SDGE Calculations'!$J$8)^$B19))</f>
        <v>#N/A</v>
      </c>
    </row>
    <row r="20" spans="1:17" ht="15.6" x14ac:dyDescent="0.3">
      <c r="A20" s="148">
        <v>17</v>
      </c>
      <c r="B20" s="63" t="e">
        <v>#N/A</v>
      </c>
      <c r="C20" s="149"/>
      <c r="D20" s="136"/>
      <c r="E20" s="136" t="e">
        <f>(C20+D20)*(1/((1+'SDGE Calculations'!$J$8)^$B20))</f>
        <v>#N/A</v>
      </c>
      <c r="F20" s="150"/>
      <c r="G20" s="149"/>
      <c r="H20" s="136"/>
      <c r="I20" s="136" t="e">
        <f>(G20+H20)*(1/((1+'SDGE Calculations'!$J$8)^$B20))</f>
        <v>#N/A</v>
      </c>
      <c r="J20" s="150"/>
      <c r="K20" s="149"/>
      <c r="L20" s="136"/>
      <c r="M20" s="136" t="e">
        <f>(K20+L20)*(1/((1+'SDGE Calculations'!$J$8)^$B20))</f>
        <v>#N/A</v>
      </c>
      <c r="N20" s="150"/>
      <c r="O20" s="149"/>
      <c r="P20" s="136"/>
      <c r="Q20" s="150" t="e">
        <f>(O20+P20)*(1/((1+'SDGE Calculations'!$J$8)^$B20))</f>
        <v>#N/A</v>
      </c>
    </row>
    <row r="21" spans="1:17" ht="15.6" x14ac:dyDescent="0.3">
      <c r="A21" s="148">
        <v>18</v>
      </c>
      <c r="B21" s="63" t="e">
        <v>#N/A</v>
      </c>
      <c r="C21" s="149"/>
      <c r="D21" s="136"/>
      <c r="E21" s="136" t="e">
        <f>(C21+D21)*(1/((1+'SDGE Calculations'!$J$8)^$B21))</f>
        <v>#N/A</v>
      </c>
      <c r="F21" s="150"/>
      <c r="G21" s="149"/>
      <c r="H21" s="136"/>
      <c r="I21" s="136" t="e">
        <f>(G21+H21)*(1/((1+'SDGE Calculations'!$J$8)^$B21))</f>
        <v>#N/A</v>
      </c>
      <c r="J21" s="150"/>
      <c r="K21" s="149"/>
      <c r="L21" s="136"/>
      <c r="M21" s="136" t="e">
        <f>(K21+L21)*(1/((1+'SDGE Calculations'!$J$8)^$B21))</f>
        <v>#N/A</v>
      </c>
      <c r="N21" s="150"/>
      <c r="O21" s="149"/>
      <c r="P21" s="136"/>
      <c r="Q21" s="150" t="e">
        <f>(O21+P21)*(1/((1+'SDGE Calculations'!$J$8)^$B21))</f>
        <v>#N/A</v>
      </c>
    </row>
    <row r="22" spans="1:17" ht="15.6" x14ac:dyDescent="0.3">
      <c r="A22" s="148">
        <v>19</v>
      </c>
      <c r="B22" s="63" t="e">
        <v>#N/A</v>
      </c>
      <c r="C22" s="149"/>
      <c r="D22" s="136"/>
      <c r="E22" s="136" t="e">
        <f>(C22+D22)*(1/((1+'SDGE Calculations'!$J$8)^$B22))</f>
        <v>#N/A</v>
      </c>
      <c r="F22" s="150"/>
      <c r="G22" s="149"/>
      <c r="H22" s="136"/>
      <c r="I22" s="136" t="e">
        <f>(G22+H22)*(1/((1+'SDGE Calculations'!$J$8)^$B22))</f>
        <v>#N/A</v>
      </c>
      <c r="J22" s="150"/>
      <c r="K22" s="149"/>
      <c r="L22" s="136"/>
      <c r="M22" s="136" t="e">
        <f>(K22+L22)*(1/((1+'SDGE Calculations'!$J$8)^$B22))</f>
        <v>#N/A</v>
      </c>
      <c r="N22" s="150"/>
      <c r="O22" s="149"/>
      <c r="P22" s="136"/>
      <c r="Q22" s="150" t="e">
        <f>(O22+P22)*(1/((1+'SDGE Calculations'!$J$8)^$B22))</f>
        <v>#N/A</v>
      </c>
    </row>
    <row r="23" spans="1:17" ht="15.6" x14ac:dyDescent="0.3">
      <c r="A23" s="148">
        <v>20</v>
      </c>
      <c r="B23" s="63" t="e">
        <v>#N/A</v>
      </c>
      <c r="C23" s="149"/>
      <c r="D23" s="136"/>
      <c r="E23" s="136" t="e">
        <f>(C23+D23)*(1/((1+'SDGE Calculations'!$J$8)^$B23))</f>
        <v>#N/A</v>
      </c>
      <c r="F23" s="150"/>
      <c r="G23" s="149"/>
      <c r="H23" s="136"/>
      <c r="I23" s="136" t="e">
        <f>(G23+H23)*(1/((1+'SDGE Calculations'!$J$8)^$B23))</f>
        <v>#N/A</v>
      </c>
      <c r="J23" s="150"/>
      <c r="K23" s="149"/>
      <c r="L23" s="136"/>
      <c r="M23" s="136" t="e">
        <f>(K23+L23)*(1/((1+'SDGE Calculations'!$J$8)^$B23))</f>
        <v>#N/A</v>
      </c>
      <c r="N23" s="150"/>
      <c r="O23" s="149"/>
      <c r="P23" s="136"/>
      <c r="Q23" s="150" t="e">
        <f>(O23+P23)*(1/((1+'SDGE Calculations'!$J$8)^$B23))</f>
        <v>#N/A</v>
      </c>
    </row>
    <row r="24" spans="1:17" ht="15.6" x14ac:dyDescent="0.3">
      <c r="A24" s="148">
        <v>21</v>
      </c>
      <c r="B24" s="63" t="e">
        <v>#N/A</v>
      </c>
      <c r="C24" s="149"/>
      <c r="D24" s="136"/>
      <c r="E24" s="136" t="e">
        <f>(C24+D24)*(1/((1+'SDGE Calculations'!$J$8)^$B24))</f>
        <v>#N/A</v>
      </c>
      <c r="F24" s="150"/>
      <c r="G24" s="149"/>
      <c r="H24" s="136"/>
      <c r="I24" s="136" t="e">
        <f>(G24+H24)*(1/((1+'SDGE Calculations'!$J$8)^$B24))</f>
        <v>#N/A</v>
      </c>
      <c r="J24" s="150"/>
      <c r="K24" s="149"/>
      <c r="L24" s="136"/>
      <c r="M24" s="136" t="e">
        <f>(K24+L24)*(1/((1+'SDGE Calculations'!$J$8)^$B24))</f>
        <v>#N/A</v>
      </c>
      <c r="N24" s="150"/>
      <c r="O24" s="149"/>
      <c r="P24" s="136"/>
      <c r="Q24" s="150" t="e">
        <f>(O24+P24)*(1/((1+'SDGE Calculations'!$J$8)^$B24))</f>
        <v>#N/A</v>
      </c>
    </row>
    <row r="25" spans="1:17" ht="15.6" x14ac:dyDescent="0.3">
      <c r="A25" s="148">
        <v>22</v>
      </c>
      <c r="B25" s="63" t="e">
        <v>#N/A</v>
      </c>
      <c r="C25" s="149"/>
      <c r="D25" s="136"/>
      <c r="E25" s="136" t="e">
        <f>(C25+D25)*(1/((1+'SDGE Calculations'!$J$8)^$B25))</f>
        <v>#N/A</v>
      </c>
      <c r="F25" s="150"/>
      <c r="G25" s="149"/>
      <c r="H25" s="136"/>
      <c r="I25" s="136" t="e">
        <f>(G25+H25)*(1/((1+'SDGE Calculations'!$J$8)^$B25))</f>
        <v>#N/A</v>
      </c>
      <c r="J25" s="150"/>
      <c r="K25" s="149"/>
      <c r="L25" s="136"/>
      <c r="M25" s="136" t="e">
        <f>(K25+L25)*(1/((1+'SDGE Calculations'!$J$8)^$B25))</f>
        <v>#N/A</v>
      </c>
      <c r="N25" s="150"/>
      <c r="O25" s="149"/>
      <c r="P25" s="136"/>
      <c r="Q25" s="150" t="e">
        <f>(O25+P25)*(1/((1+'SDGE Calculations'!$J$8)^$B25))</f>
        <v>#N/A</v>
      </c>
    </row>
    <row r="26" spans="1:17" ht="15.6" x14ac:dyDescent="0.3">
      <c r="A26" s="148">
        <v>23</v>
      </c>
      <c r="B26" s="63" t="e">
        <v>#N/A</v>
      </c>
      <c r="C26" s="149"/>
      <c r="D26" s="136"/>
      <c r="E26" s="136" t="e">
        <f>(C26+D26)*(1/((1+'SDGE Calculations'!$J$8)^$B26))</f>
        <v>#N/A</v>
      </c>
      <c r="F26" s="150"/>
      <c r="G26" s="149"/>
      <c r="H26" s="136"/>
      <c r="I26" s="136" t="e">
        <f>(G26+H26)*(1/((1+'SDGE Calculations'!$J$8)^$B26))</f>
        <v>#N/A</v>
      </c>
      <c r="J26" s="150"/>
      <c r="K26" s="149"/>
      <c r="L26" s="136"/>
      <c r="M26" s="136" t="e">
        <f>(K26+L26)*(1/((1+'SDGE Calculations'!$J$8)^$B26))</f>
        <v>#N/A</v>
      </c>
      <c r="N26" s="150"/>
      <c r="O26" s="149"/>
      <c r="P26" s="136"/>
      <c r="Q26" s="150" t="e">
        <f>(O26+P26)*(1/((1+'SDGE Calculations'!$J$8)^$B26))</f>
        <v>#N/A</v>
      </c>
    </row>
    <row r="27" spans="1:17" ht="15.6" x14ac:dyDescent="0.3">
      <c r="A27" s="148">
        <v>24</v>
      </c>
      <c r="B27" s="63" t="e">
        <v>#N/A</v>
      </c>
      <c r="C27" s="149"/>
      <c r="D27" s="136"/>
      <c r="E27" s="136" t="e">
        <f>(C27+D27)*(1/((1+'SDGE Calculations'!$J$8)^$B27))</f>
        <v>#N/A</v>
      </c>
      <c r="F27" s="150"/>
      <c r="G27" s="149"/>
      <c r="H27" s="136"/>
      <c r="I27" s="136" t="e">
        <f>(G27+H27)*(1/((1+'SDGE Calculations'!$J$8)^$B27))</f>
        <v>#N/A</v>
      </c>
      <c r="J27" s="150"/>
      <c r="K27" s="149"/>
      <c r="L27" s="136"/>
      <c r="M27" s="136" t="e">
        <f>(K27+L27)*(1/((1+'SDGE Calculations'!$J$8)^$B27))</f>
        <v>#N/A</v>
      </c>
      <c r="N27" s="150"/>
      <c r="O27" s="149"/>
      <c r="P27" s="136"/>
      <c r="Q27" s="150" t="e">
        <f>(O27+P27)*(1/((1+'SDGE Calculations'!$J$8)^$B27))</f>
        <v>#N/A</v>
      </c>
    </row>
    <row r="28" spans="1:17" ht="15.6" x14ac:dyDescent="0.3">
      <c r="A28" s="148">
        <v>25</v>
      </c>
      <c r="B28" s="63" t="e">
        <v>#N/A</v>
      </c>
      <c r="C28" s="149"/>
      <c r="D28" s="136"/>
      <c r="E28" s="136" t="e">
        <f>(C28+D28)*(1/((1+'SDGE Calculations'!$J$8)^$B28))</f>
        <v>#N/A</v>
      </c>
      <c r="F28" s="150"/>
      <c r="G28" s="149"/>
      <c r="H28" s="136"/>
      <c r="I28" s="136" t="e">
        <f>(G28+H28)*(1/((1+'SDGE Calculations'!$J$8)^$B28))</f>
        <v>#N/A</v>
      </c>
      <c r="J28" s="150"/>
      <c r="K28" s="149"/>
      <c r="L28" s="136"/>
      <c r="M28" s="136" t="e">
        <f>(K28+L28)*(1/((1+'SDGE Calculations'!$J$8)^$B28))</f>
        <v>#N/A</v>
      </c>
      <c r="N28" s="150"/>
      <c r="O28" s="149"/>
      <c r="P28" s="136"/>
      <c r="Q28" s="150" t="e">
        <f>(O28+P28)*(1/((1+'SDGE Calculations'!$J$8)^$B28))</f>
        <v>#N/A</v>
      </c>
    </row>
    <row r="29" spans="1:17" ht="15.6" x14ac:dyDescent="0.3">
      <c r="A29" s="148">
        <v>26</v>
      </c>
      <c r="B29" s="63" t="e">
        <v>#N/A</v>
      </c>
      <c r="C29" s="149"/>
      <c r="D29" s="136"/>
      <c r="E29" s="136" t="e">
        <f>(C29+D29)*(1/((1+'SDGE Calculations'!$J$8)^$B29))</f>
        <v>#N/A</v>
      </c>
      <c r="F29" s="150"/>
      <c r="G29" s="149"/>
      <c r="H29" s="136"/>
      <c r="I29" s="136" t="e">
        <f>(G29+H29)*(1/((1+'SDGE Calculations'!$J$8)^$B29))</f>
        <v>#N/A</v>
      </c>
      <c r="J29" s="150"/>
      <c r="K29" s="149"/>
      <c r="L29" s="136"/>
      <c r="M29" s="136" t="e">
        <f>(K29+L29)*(1/((1+'SDGE Calculations'!$J$8)^$B29))</f>
        <v>#N/A</v>
      </c>
      <c r="N29" s="150"/>
      <c r="O29" s="149"/>
      <c r="P29" s="136"/>
      <c r="Q29" s="150" t="e">
        <f>(O29+P29)*(1/((1+'SDGE Calculations'!$J$8)^$B29))</f>
        <v>#N/A</v>
      </c>
    </row>
    <row r="30" spans="1:17" ht="15.6" x14ac:dyDescent="0.3">
      <c r="A30" s="148">
        <v>27</v>
      </c>
      <c r="B30" s="63" t="e">
        <v>#N/A</v>
      </c>
      <c r="C30" s="149"/>
      <c r="D30" s="136"/>
      <c r="E30" s="136" t="e">
        <f>(C30+D30)*(1/((1+'SDGE Calculations'!$J$8)^$B30))</f>
        <v>#N/A</v>
      </c>
      <c r="F30" s="150"/>
      <c r="G30" s="149"/>
      <c r="H30" s="136"/>
      <c r="I30" s="136" t="e">
        <f>(G30+H30)*(1/((1+'SDGE Calculations'!$J$8)^$B30))</f>
        <v>#N/A</v>
      </c>
      <c r="J30" s="150"/>
      <c r="K30" s="149"/>
      <c r="L30" s="136"/>
      <c r="M30" s="136" t="e">
        <f>(K30+L30)*(1/((1+'SDGE Calculations'!$J$8)^$B30))</f>
        <v>#N/A</v>
      </c>
      <c r="N30" s="150"/>
      <c r="O30" s="149"/>
      <c r="P30" s="136"/>
      <c r="Q30" s="150" t="e">
        <f>(O30+P30)*(1/((1+'SDGE Calculations'!$J$8)^$B30))</f>
        <v>#N/A</v>
      </c>
    </row>
    <row r="31" spans="1:17" ht="15.6" x14ac:dyDescent="0.3">
      <c r="A31" s="148">
        <v>28</v>
      </c>
      <c r="B31" s="63" t="e">
        <v>#N/A</v>
      </c>
      <c r="C31" s="149"/>
      <c r="D31" s="136"/>
      <c r="E31" s="136" t="e">
        <f>(C31+D31)*(1/((1+'SDGE Calculations'!$J$8)^$B31))</f>
        <v>#N/A</v>
      </c>
      <c r="F31" s="150"/>
      <c r="G31" s="149"/>
      <c r="H31" s="136"/>
      <c r="I31" s="136" t="e">
        <f>(G31+H31)*(1/((1+'SDGE Calculations'!$J$8)^$B31))</f>
        <v>#N/A</v>
      </c>
      <c r="J31" s="150"/>
      <c r="K31" s="149"/>
      <c r="L31" s="136"/>
      <c r="M31" s="136" t="e">
        <f>(K31+L31)*(1/((1+'SDGE Calculations'!$J$8)^$B31))</f>
        <v>#N/A</v>
      </c>
      <c r="N31" s="150"/>
      <c r="O31" s="149"/>
      <c r="P31" s="136"/>
      <c r="Q31" s="150" t="e">
        <f>(O31+P31)*(1/((1+'SDGE Calculations'!$J$8)^$B31))</f>
        <v>#N/A</v>
      </c>
    </row>
    <row r="32" spans="1:17" ht="15.6" x14ac:dyDescent="0.3">
      <c r="A32" s="148">
        <v>29</v>
      </c>
      <c r="B32" s="63" t="e">
        <v>#N/A</v>
      </c>
      <c r="C32" s="149"/>
      <c r="D32" s="136"/>
      <c r="E32" s="136" t="e">
        <f>(C32+D32)*(1/((1+'SDGE Calculations'!$J$8)^$B32))</f>
        <v>#N/A</v>
      </c>
      <c r="F32" s="150"/>
      <c r="G32" s="149"/>
      <c r="H32" s="136"/>
      <c r="I32" s="136" t="e">
        <f>(G32+H32)*(1/((1+'SDGE Calculations'!$J$8)^$B32))</f>
        <v>#N/A</v>
      </c>
      <c r="J32" s="150"/>
      <c r="K32" s="149"/>
      <c r="L32" s="136"/>
      <c r="M32" s="136" t="e">
        <f>(K32+L32)*(1/((1+'SDGE Calculations'!$J$8)^$B32))</f>
        <v>#N/A</v>
      </c>
      <c r="N32" s="150"/>
      <c r="O32" s="149"/>
      <c r="P32" s="136"/>
      <c r="Q32" s="150" t="e">
        <f>(O32+P32)*(1/((1+'SDGE Calculations'!$J$8)^$B32))</f>
        <v>#N/A</v>
      </c>
    </row>
    <row r="33" spans="1:17" ht="15.6" x14ac:dyDescent="0.3">
      <c r="A33" s="148">
        <v>30</v>
      </c>
      <c r="B33" s="63" t="e">
        <v>#N/A</v>
      </c>
      <c r="C33" s="149"/>
      <c r="D33" s="136"/>
      <c r="E33" s="136" t="e">
        <f>(C33+D33)*(1/((1+'SDGE Calculations'!$J$8)^$B33))</f>
        <v>#N/A</v>
      </c>
      <c r="F33" s="150"/>
      <c r="G33" s="149"/>
      <c r="H33" s="136"/>
      <c r="I33" s="136" t="e">
        <f>(G33+H33)*(1/((1+'SDGE Calculations'!$J$8)^$B33))</f>
        <v>#N/A</v>
      </c>
      <c r="J33" s="150"/>
      <c r="K33" s="149"/>
      <c r="L33" s="136"/>
      <c r="M33" s="136" t="e">
        <f>(K33+L33)*(1/((1+'SDGE Calculations'!$J$8)^$B33))</f>
        <v>#N/A</v>
      </c>
      <c r="N33" s="150"/>
      <c r="O33" s="149"/>
      <c r="P33" s="136"/>
      <c r="Q33" s="150" t="e">
        <f>(O33+P33)*(1/((1+'SDGE Calculations'!$J$8)^$B33))</f>
        <v>#N/A</v>
      </c>
    </row>
    <row r="34" spans="1:17" ht="15.6" x14ac:dyDescent="0.3">
      <c r="A34" s="148">
        <v>31</v>
      </c>
      <c r="B34" s="63" t="e">
        <v>#N/A</v>
      </c>
      <c r="C34" s="149"/>
      <c r="D34" s="136"/>
      <c r="E34" s="136" t="e">
        <f>(C34+D34)*(1/((1+'SDGE Calculations'!$J$8)^$B34))</f>
        <v>#N/A</v>
      </c>
      <c r="F34" s="150"/>
      <c r="G34" s="149"/>
      <c r="H34" s="136"/>
      <c r="I34" s="136" t="e">
        <f>(G34+H34)*(1/((1+'SDGE Calculations'!$J$8)^$B34))</f>
        <v>#N/A</v>
      </c>
      <c r="J34" s="150"/>
      <c r="K34" s="149"/>
      <c r="L34" s="136"/>
      <c r="M34" s="136" t="e">
        <f>(K34+L34)*(1/((1+'SDGE Calculations'!$J$8)^$B34))</f>
        <v>#N/A</v>
      </c>
      <c r="N34" s="150"/>
      <c r="O34" s="149"/>
      <c r="P34" s="136"/>
      <c r="Q34" s="150" t="e">
        <f>(O34+P34)*(1/((1+'SDGE Calculations'!$J$8)^$B34))</f>
        <v>#N/A</v>
      </c>
    </row>
    <row r="35" spans="1:17" ht="15.6" x14ac:dyDescent="0.3">
      <c r="A35" s="148">
        <v>32</v>
      </c>
      <c r="B35" s="63" t="e">
        <v>#N/A</v>
      </c>
      <c r="C35" s="149"/>
      <c r="D35" s="136"/>
      <c r="E35" s="136" t="e">
        <f>(C35+D35)*(1/((1+'SDGE Calculations'!$J$8)^$B35))</f>
        <v>#N/A</v>
      </c>
      <c r="F35" s="150"/>
      <c r="G35" s="149"/>
      <c r="H35" s="136"/>
      <c r="I35" s="136" t="e">
        <f>(G35+H35)*(1/((1+'SDGE Calculations'!$J$8)^$B35))</f>
        <v>#N/A</v>
      </c>
      <c r="J35" s="150"/>
      <c r="K35" s="149"/>
      <c r="L35" s="136"/>
      <c r="M35" s="136" t="e">
        <f>(K35+L35)*(1/((1+'SDGE Calculations'!$J$8)^$B35))</f>
        <v>#N/A</v>
      </c>
      <c r="N35" s="150"/>
      <c r="O35" s="149"/>
      <c r="P35" s="136"/>
      <c r="Q35" s="150" t="e">
        <f>(O35+P35)*(1/((1+'SDGE Calculations'!$J$8)^$B35))</f>
        <v>#N/A</v>
      </c>
    </row>
    <row r="36" spans="1:17" ht="15.6" x14ac:dyDescent="0.3">
      <c r="A36" s="148">
        <v>33</v>
      </c>
      <c r="B36" s="63" t="e">
        <v>#N/A</v>
      </c>
      <c r="C36" s="149"/>
      <c r="D36" s="136"/>
      <c r="E36" s="136" t="e">
        <f>(C36+D36)*(1/((1+'SDGE Calculations'!$J$8)^$B36))</f>
        <v>#N/A</v>
      </c>
      <c r="F36" s="150"/>
      <c r="G36" s="149"/>
      <c r="H36" s="136"/>
      <c r="I36" s="136" t="e">
        <f>(G36+H36)*(1/((1+'SDGE Calculations'!$J$8)^$B36))</f>
        <v>#N/A</v>
      </c>
      <c r="J36" s="150"/>
      <c r="K36" s="149"/>
      <c r="L36" s="136"/>
      <c r="M36" s="136" t="e">
        <f>(K36+L36)*(1/((1+'SDGE Calculations'!$J$8)^$B36))</f>
        <v>#N/A</v>
      </c>
      <c r="N36" s="150"/>
      <c r="O36" s="149"/>
      <c r="P36" s="136"/>
      <c r="Q36" s="150" t="e">
        <f>(O36+P36)*(1/((1+'SDGE Calculations'!$J$8)^$B36))</f>
        <v>#N/A</v>
      </c>
    </row>
    <row r="37" spans="1:17" ht="15.6" x14ac:dyDescent="0.3">
      <c r="A37" s="148">
        <v>34</v>
      </c>
      <c r="B37" s="63" t="e">
        <v>#N/A</v>
      </c>
      <c r="C37" s="149"/>
      <c r="D37" s="136"/>
      <c r="E37" s="136" t="e">
        <f>(C37+D37)*(1/((1+'SDGE Calculations'!$J$8)^$B37))</f>
        <v>#N/A</v>
      </c>
      <c r="F37" s="150"/>
      <c r="G37" s="149"/>
      <c r="H37" s="136"/>
      <c r="I37" s="136" t="e">
        <f>(G37+H37)*(1/((1+'SDGE Calculations'!$J$8)^$B37))</f>
        <v>#N/A</v>
      </c>
      <c r="J37" s="150"/>
      <c r="K37" s="149"/>
      <c r="L37" s="136"/>
      <c r="M37" s="136" t="e">
        <f>(K37+L37)*(1/((1+'SDGE Calculations'!$J$8)^$B37))</f>
        <v>#N/A</v>
      </c>
      <c r="N37" s="150"/>
      <c r="O37" s="149"/>
      <c r="P37" s="136"/>
      <c r="Q37" s="150" t="e">
        <f>(O37+P37)*(1/((1+'SDGE Calculations'!$J$8)^$B37))</f>
        <v>#N/A</v>
      </c>
    </row>
    <row r="38" spans="1:17" ht="15.6" x14ac:dyDescent="0.3">
      <c r="A38" s="148">
        <v>35</v>
      </c>
      <c r="B38" s="63" t="e">
        <v>#N/A</v>
      </c>
      <c r="C38" s="149"/>
      <c r="D38" s="136"/>
      <c r="E38" s="136" t="e">
        <f>(C38+D38)*(1/((1+'SDGE Calculations'!$J$8)^$B38))</f>
        <v>#N/A</v>
      </c>
      <c r="F38" s="150"/>
      <c r="G38" s="149"/>
      <c r="H38" s="136"/>
      <c r="I38" s="136" t="e">
        <f>(G38+H38)*(1/((1+'SDGE Calculations'!$J$8)^$B38))</f>
        <v>#N/A</v>
      </c>
      <c r="J38" s="150"/>
      <c r="K38" s="149"/>
      <c r="L38" s="136"/>
      <c r="M38" s="136" t="e">
        <f>(K38+L38)*(1/((1+'SDGE Calculations'!$J$8)^$B38))</f>
        <v>#N/A</v>
      </c>
      <c r="N38" s="150"/>
      <c r="O38" s="149"/>
      <c r="P38" s="136"/>
      <c r="Q38" s="150" t="e">
        <f>(O38+P38)*(1/((1+'SDGE Calculations'!$J$8)^$B38))</f>
        <v>#N/A</v>
      </c>
    </row>
    <row r="39" spans="1:17" ht="15.6" x14ac:dyDescent="0.3">
      <c r="A39" s="148">
        <v>36</v>
      </c>
      <c r="B39" s="63" t="e">
        <v>#N/A</v>
      </c>
      <c r="C39" s="149"/>
      <c r="D39" s="136"/>
      <c r="E39" s="136" t="e">
        <f>(C39+D39)*(1/((1+'SDGE Calculations'!$J$8)^$B39))</f>
        <v>#N/A</v>
      </c>
      <c r="F39" s="150"/>
      <c r="G39" s="149"/>
      <c r="H39" s="136"/>
      <c r="I39" s="136" t="e">
        <f>(G39+H39)*(1/((1+'SDGE Calculations'!$J$8)^$B39))</f>
        <v>#N/A</v>
      </c>
      <c r="J39" s="150"/>
      <c r="K39" s="149"/>
      <c r="L39" s="136"/>
      <c r="M39" s="136" t="e">
        <f>(K39+L39)*(1/((1+'SDGE Calculations'!$J$8)^$B39))</f>
        <v>#N/A</v>
      </c>
      <c r="N39" s="150"/>
      <c r="O39" s="149"/>
      <c r="P39" s="136"/>
      <c r="Q39" s="150" t="e">
        <f>(O39+P39)*(1/((1+'SDGE Calculations'!$J$8)^$B39))</f>
        <v>#N/A</v>
      </c>
    </row>
    <row r="40" spans="1:17" ht="15.6" x14ac:dyDescent="0.3">
      <c r="A40" s="148">
        <v>37</v>
      </c>
      <c r="B40" s="63" t="e">
        <v>#N/A</v>
      </c>
      <c r="C40" s="149"/>
      <c r="D40" s="136"/>
      <c r="E40" s="136" t="e">
        <f>(C40+D40)*(1/((1+'SDGE Calculations'!$J$8)^$B40))</f>
        <v>#N/A</v>
      </c>
      <c r="F40" s="150"/>
      <c r="G40" s="149"/>
      <c r="H40" s="136"/>
      <c r="I40" s="136" t="e">
        <f>(G40+H40)*(1/((1+'SDGE Calculations'!$J$8)^$B40))</f>
        <v>#N/A</v>
      </c>
      <c r="J40" s="150"/>
      <c r="K40" s="149"/>
      <c r="L40" s="136"/>
      <c r="M40" s="136" t="e">
        <f>(K40+L40)*(1/((1+'SDGE Calculations'!$J$8)^$B40))</f>
        <v>#N/A</v>
      </c>
      <c r="N40" s="150"/>
      <c r="O40" s="149"/>
      <c r="P40" s="136"/>
      <c r="Q40" s="150" t="e">
        <f>(O40+P40)*(1/((1+'SDGE Calculations'!$J$8)^$B40))</f>
        <v>#N/A</v>
      </c>
    </row>
    <row r="41" spans="1:17" ht="15.6" x14ac:dyDescent="0.3">
      <c r="A41" s="148">
        <v>38</v>
      </c>
      <c r="B41" s="63" t="e">
        <v>#N/A</v>
      </c>
      <c r="C41" s="149"/>
      <c r="D41" s="136"/>
      <c r="E41" s="136" t="e">
        <f>(C41+D41)*(1/((1+'SDGE Calculations'!$J$8)^$B41))</f>
        <v>#N/A</v>
      </c>
      <c r="F41" s="150"/>
      <c r="G41" s="149"/>
      <c r="H41" s="136"/>
      <c r="I41" s="136" t="e">
        <f>(G41+H41)*(1/((1+'SDGE Calculations'!$J$8)^$B41))</f>
        <v>#N/A</v>
      </c>
      <c r="J41" s="150"/>
      <c r="K41" s="149"/>
      <c r="L41" s="136"/>
      <c r="M41" s="136" t="e">
        <f>(K41+L41)*(1/((1+'SDGE Calculations'!$J$8)^$B41))</f>
        <v>#N/A</v>
      </c>
      <c r="N41" s="150"/>
      <c r="O41" s="149"/>
      <c r="P41" s="136"/>
      <c r="Q41" s="150" t="e">
        <f>(O41+P41)*(1/((1+'SDGE Calculations'!$J$8)^$B41))</f>
        <v>#N/A</v>
      </c>
    </row>
    <row r="42" spans="1:17" ht="15.6" x14ac:dyDescent="0.3">
      <c r="A42" s="148">
        <v>39</v>
      </c>
      <c r="B42" s="63" t="e">
        <v>#N/A</v>
      </c>
      <c r="C42" s="149"/>
      <c r="D42" s="136"/>
      <c r="E42" s="136" t="e">
        <f>(C42+D42)*(1/((1+'SDGE Calculations'!$J$8)^$B42))</f>
        <v>#N/A</v>
      </c>
      <c r="F42" s="150"/>
      <c r="G42" s="149"/>
      <c r="H42" s="136"/>
      <c r="I42" s="136" t="e">
        <f>(G42+H42)*(1/((1+'SDGE Calculations'!$J$8)^$B42))</f>
        <v>#N/A</v>
      </c>
      <c r="J42" s="150"/>
      <c r="K42" s="149"/>
      <c r="L42" s="136"/>
      <c r="M42" s="136" t="e">
        <f>(K42+L42)*(1/((1+'SDGE Calculations'!$J$8)^$B42))</f>
        <v>#N/A</v>
      </c>
      <c r="N42" s="150"/>
      <c r="O42" s="149"/>
      <c r="P42" s="136"/>
      <c r="Q42" s="150" t="e">
        <f>(O42+P42)*(1/((1+'SDGE Calculations'!$J$8)^$B42))</f>
        <v>#N/A</v>
      </c>
    </row>
    <row r="43" spans="1:17" ht="15.6" x14ac:dyDescent="0.3">
      <c r="A43" s="148">
        <v>40</v>
      </c>
      <c r="B43" s="63" t="e">
        <v>#N/A</v>
      </c>
      <c r="C43" s="149"/>
      <c r="D43" s="136"/>
      <c r="E43" s="136" t="e">
        <f>(C43+D43)*(1/((1+'SDGE Calculations'!$J$8)^$B43))</f>
        <v>#N/A</v>
      </c>
      <c r="F43" s="150"/>
      <c r="G43" s="149"/>
      <c r="H43" s="136"/>
      <c r="I43" s="136" t="e">
        <f>(G43+H43)*(1/((1+'SDGE Calculations'!$J$8)^$B43))</f>
        <v>#N/A</v>
      </c>
      <c r="J43" s="150"/>
      <c r="K43" s="149"/>
      <c r="L43" s="136"/>
      <c r="M43" s="136" t="e">
        <f>(K43+L43)*(1/((1+'SDGE Calculations'!$J$8)^$B43))</f>
        <v>#N/A</v>
      </c>
      <c r="N43" s="150"/>
      <c r="O43" s="149"/>
      <c r="P43" s="136"/>
      <c r="Q43" s="150" t="e">
        <f>(O43+P43)*(1/((1+'SDGE Calculations'!$J$8)^$B43))</f>
        <v>#N/A</v>
      </c>
    </row>
    <row r="44" spans="1:17" ht="15.6" x14ac:dyDescent="0.3">
      <c r="A44" s="148">
        <v>41</v>
      </c>
      <c r="B44" s="63" t="e">
        <v>#N/A</v>
      </c>
      <c r="C44" s="149"/>
      <c r="D44" s="136"/>
      <c r="E44" s="136" t="e">
        <f>(C44+D44)*(1/((1+'SDGE Calculations'!$J$8)^$B44))</f>
        <v>#N/A</v>
      </c>
      <c r="F44" s="150"/>
      <c r="G44" s="149"/>
      <c r="H44" s="136"/>
      <c r="I44" s="136" t="e">
        <f>(G44+H44)*(1/((1+'SDGE Calculations'!$J$8)^$B44))</f>
        <v>#N/A</v>
      </c>
      <c r="J44" s="150"/>
      <c r="K44" s="149"/>
      <c r="L44" s="136"/>
      <c r="M44" s="136" t="e">
        <f>(K44+L44)*(1/((1+'SDGE Calculations'!$J$8)^$B44))</f>
        <v>#N/A</v>
      </c>
      <c r="N44" s="150"/>
      <c r="O44" s="149"/>
      <c r="P44" s="136"/>
      <c r="Q44" s="150" t="e">
        <f>(O44+P44)*(1/((1+'SDGE Calculations'!$J$8)^$B44))</f>
        <v>#N/A</v>
      </c>
    </row>
    <row r="45" spans="1:17" ht="15.6" x14ac:dyDescent="0.3">
      <c r="A45" s="148">
        <v>42</v>
      </c>
      <c r="B45" s="63" t="e">
        <v>#N/A</v>
      </c>
      <c r="C45" s="149"/>
      <c r="D45" s="136"/>
      <c r="E45" s="136" t="e">
        <f>(C45+D45)*(1/((1+'SDGE Calculations'!$J$8)^$B45))</f>
        <v>#N/A</v>
      </c>
      <c r="F45" s="150"/>
      <c r="G45" s="149"/>
      <c r="H45" s="136"/>
      <c r="I45" s="136" t="e">
        <f>(G45+H45)*(1/((1+'SDGE Calculations'!$J$8)^$B45))</f>
        <v>#N/A</v>
      </c>
      <c r="J45" s="150"/>
      <c r="K45" s="149"/>
      <c r="L45" s="136"/>
      <c r="M45" s="136" t="e">
        <f>(K45+L45)*(1/((1+'SDGE Calculations'!$J$8)^$B45))</f>
        <v>#N/A</v>
      </c>
      <c r="N45" s="150"/>
      <c r="O45" s="149"/>
      <c r="P45" s="136"/>
      <c r="Q45" s="150" t="e">
        <f>(O45+P45)*(1/((1+'SDGE Calculations'!$J$8)^$B45))</f>
        <v>#N/A</v>
      </c>
    </row>
    <row r="46" spans="1:17" ht="15.6" x14ac:dyDescent="0.3">
      <c r="A46" s="148">
        <v>43</v>
      </c>
      <c r="B46" s="63" t="e">
        <v>#N/A</v>
      </c>
      <c r="C46" s="149"/>
      <c r="D46" s="136"/>
      <c r="E46" s="136" t="e">
        <f>(C46+D46)*(1/((1+'SDGE Calculations'!$J$8)^$B46))</f>
        <v>#N/A</v>
      </c>
      <c r="F46" s="150"/>
      <c r="G46" s="149"/>
      <c r="H46" s="136"/>
      <c r="I46" s="136" t="e">
        <f>(G46+H46)*(1/((1+'SDGE Calculations'!$J$8)^$B46))</f>
        <v>#N/A</v>
      </c>
      <c r="J46" s="150"/>
      <c r="K46" s="149"/>
      <c r="L46" s="136"/>
      <c r="M46" s="136" t="e">
        <f>(K46+L46)*(1/((1+'SDGE Calculations'!$J$8)^$B46))</f>
        <v>#N/A</v>
      </c>
      <c r="N46" s="150"/>
      <c r="O46" s="149"/>
      <c r="P46" s="136"/>
      <c r="Q46" s="150" t="e">
        <f>(O46+P46)*(1/((1+'SDGE Calculations'!$J$8)^$B46))</f>
        <v>#N/A</v>
      </c>
    </row>
    <row r="47" spans="1:17" ht="15.6" x14ac:dyDescent="0.3">
      <c r="A47" s="148">
        <v>44</v>
      </c>
      <c r="B47" s="63" t="e">
        <v>#N/A</v>
      </c>
      <c r="C47" s="149"/>
      <c r="D47" s="136"/>
      <c r="E47" s="136" t="e">
        <f>(C47+D47)*(1/((1+'SDGE Calculations'!$J$8)^$B47))</f>
        <v>#N/A</v>
      </c>
      <c r="F47" s="150"/>
      <c r="G47" s="149"/>
      <c r="H47" s="136"/>
      <c r="I47" s="136" t="e">
        <f>(G47+H47)*(1/((1+'SDGE Calculations'!$J$8)^$B47))</f>
        <v>#N/A</v>
      </c>
      <c r="J47" s="150"/>
      <c r="K47" s="149"/>
      <c r="L47" s="136"/>
      <c r="M47" s="136" t="e">
        <f>(K47+L47)*(1/((1+'SDGE Calculations'!$J$8)^$B47))</f>
        <v>#N/A</v>
      </c>
      <c r="N47" s="150"/>
      <c r="O47" s="149"/>
      <c r="P47" s="136"/>
      <c r="Q47" s="150" t="e">
        <f>(O47+P47)*(1/((1+'SDGE Calculations'!$J$8)^$B47))</f>
        <v>#N/A</v>
      </c>
    </row>
    <row r="48" spans="1:17" ht="15.6" x14ac:dyDescent="0.3">
      <c r="A48" s="148">
        <v>45</v>
      </c>
      <c r="B48" s="63"/>
      <c r="C48" s="149"/>
      <c r="D48" s="136"/>
      <c r="E48" s="136">
        <f>(C48+D48)*(1/((1+'SDGE Calculations'!$J$8)^$B48))</f>
        <v>0</v>
      </c>
      <c r="F48" s="150"/>
      <c r="G48" s="149"/>
      <c r="H48" s="136"/>
      <c r="I48" s="136">
        <f>(G48+H48)*(1/((1+'SDGE Calculations'!$J$8)^$B48))</f>
        <v>0</v>
      </c>
      <c r="J48" s="150"/>
      <c r="K48" s="149"/>
      <c r="L48" s="136"/>
      <c r="M48" s="136">
        <f>(K48+L48)*(1/((1+'SDGE Calculations'!$J$8)^$B48))</f>
        <v>0</v>
      </c>
      <c r="N48" s="150"/>
      <c r="O48" s="149"/>
      <c r="P48" s="136"/>
      <c r="Q48" s="150">
        <f>(O48+P48)*(1/((1+'SDGE Calculations'!$J$8)^$B48))</f>
        <v>0</v>
      </c>
    </row>
    <row r="49" spans="1:17" ht="15.6" x14ac:dyDescent="0.3">
      <c r="A49" s="148">
        <v>46</v>
      </c>
      <c r="B49" s="63"/>
      <c r="C49" s="149"/>
      <c r="D49" s="136"/>
      <c r="E49" s="136">
        <f>(C49+D49)*(1/((1+'SDGE Calculations'!$J$8)^$B49))</f>
        <v>0</v>
      </c>
      <c r="F49" s="150"/>
      <c r="G49" s="149"/>
      <c r="H49" s="136"/>
      <c r="I49" s="136">
        <f>(G49+H49)*(1/((1+'SDGE Calculations'!$J$8)^$B49))</f>
        <v>0</v>
      </c>
      <c r="J49" s="150"/>
      <c r="K49" s="149"/>
      <c r="L49" s="136"/>
      <c r="M49" s="136">
        <f>(K49+L49)*(1/((1+'SDGE Calculations'!$J$8)^$B49))</f>
        <v>0</v>
      </c>
      <c r="N49" s="150"/>
      <c r="O49" s="149"/>
      <c r="P49" s="136"/>
      <c r="Q49" s="150">
        <f>(O49+P49)*(1/((1+'SDGE Calculations'!$J$8)^$B49))</f>
        <v>0</v>
      </c>
    </row>
    <row r="50" spans="1:17" ht="15.6" x14ac:dyDescent="0.3">
      <c r="A50" s="148">
        <v>47</v>
      </c>
      <c r="B50" s="63"/>
      <c r="C50" s="149"/>
      <c r="D50" s="136"/>
      <c r="E50" s="136">
        <f>(C50+D50)*(1/((1+'SDGE Calculations'!$J$8)^$B50))</f>
        <v>0</v>
      </c>
      <c r="F50" s="150"/>
      <c r="G50" s="149"/>
      <c r="H50" s="136"/>
      <c r="I50" s="136">
        <f>(G50+H50)*(1/((1+'SDGE Calculations'!$J$8)^$B50))</f>
        <v>0</v>
      </c>
      <c r="J50" s="150"/>
      <c r="K50" s="149"/>
      <c r="L50" s="136"/>
      <c r="M50" s="136">
        <f>(K50+L50)*(1/((1+'SDGE Calculations'!$J$8)^$B50))</f>
        <v>0</v>
      </c>
      <c r="N50" s="150"/>
      <c r="O50" s="149"/>
      <c r="P50" s="136"/>
      <c r="Q50" s="150">
        <f>(O50+P50)*(1/((1+'SDGE Calculations'!$J$8)^$B50))</f>
        <v>0</v>
      </c>
    </row>
    <row r="51" spans="1:17" ht="15.6" x14ac:dyDescent="0.3">
      <c r="A51" s="148">
        <v>48</v>
      </c>
      <c r="B51" s="63"/>
      <c r="C51" s="149"/>
      <c r="D51" s="136"/>
      <c r="E51" s="136">
        <f>(C51+D51)*(1/((1+'SDGE Calculations'!$J$8)^$B51))</f>
        <v>0</v>
      </c>
      <c r="F51" s="150"/>
      <c r="G51" s="149"/>
      <c r="H51" s="136"/>
      <c r="I51" s="136">
        <f>(G51+H51)*(1/((1+'SDGE Calculations'!$J$8)^$B51))</f>
        <v>0</v>
      </c>
      <c r="J51" s="150"/>
      <c r="K51" s="149"/>
      <c r="L51" s="136"/>
      <c r="M51" s="136">
        <f>(K51+L51)*(1/((1+'SDGE Calculations'!$J$8)^$B51))</f>
        <v>0</v>
      </c>
      <c r="N51" s="150"/>
      <c r="O51" s="149"/>
      <c r="P51" s="136"/>
      <c r="Q51" s="150">
        <f>(O51+P51)*(1/((1+'SDGE Calculations'!$J$8)^$B51))</f>
        <v>0</v>
      </c>
    </row>
    <row r="52" spans="1:17" ht="15.6" x14ac:dyDescent="0.3">
      <c r="A52" s="148">
        <v>49</v>
      </c>
      <c r="B52" s="63"/>
      <c r="C52" s="149"/>
      <c r="D52" s="136"/>
      <c r="E52" s="136">
        <f>(C52+D52)*(1/((1+'SDGE Calculations'!$J$8)^$B52))</f>
        <v>0</v>
      </c>
      <c r="F52" s="150"/>
      <c r="G52" s="149"/>
      <c r="H52" s="136"/>
      <c r="I52" s="136">
        <f>(G52+H52)*(1/((1+'SDGE Calculations'!$J$8)^$B52))</f>
        <v>0</v>
      </c>
      <c r="J52" s="150"/>
      <c r="K52" s="149"/>
      <c r="L52" s="136"/>
      <c r="M52" s="136">
        <f>(K52+L52)*(1/((1+'SDGE Calculations'!$J$8)^$B52))</f>
        <v>0</v>
      </c>
      <c r="N52" s="150"/>
      <c r="O52" s="149"/>
      <c r="P52" s="136"/>
      <c r="Q52" s="150">
        <f>(O52+P52)*(1/((1+'SDGE Calculations'!$J$8)^$B52))</f>
        <v>0</v>
      </c>
    </row>
    <row r="53" spans="1:17" ht="15.6" x14ac:dyDescent="0.3">
      <c r="A53" s="148">
        <v>50</v>
      </c>
      <c r="B53" s="63"/>
      <c r="C53" s="149"/>
      <c r="D53" s="136"/>
      <c r="E53" s="136">
        <f>(C53+D53)*(1/((1+'SDGE Calculations'!$J$8)^$B53))</f>
        <v>0</v>
      </c>
      <c r="F53" s="150"/>
      <c r="G53" s="149"/>
      <c r="H53" s="136"/>
      <c r="I53" s="136">
        <f>(G53+H53)*(1/((1+'SDGE Calculations'!$J$8)^$B53))</f>
        <v>0</v>
      </c>
      <c r="J53" s="150"/>
      <c r="K53" s="149"/>
      <c r="L53" s="136"/>
      <c r="M53" s="136">
        <f>(K53+L53)*(1/((1+'SDGE Calculations'!$J$8)^$B53))</f>
        <v>0</v>
      </c>
      <c r="N53" s="150"/>
      <c r="O53" s="149"/>
      <c r="P53" s="136"/>
      <c r="Q53" s="150">
        <f>(O53+P53)*(1/((1+'SDGE Calculations'!$J$8)^$B53))</f>
        <v>0</v>
      </c>
    </row>
    <row r="54" spans="1:17" ht="15.6" x14ac:dyDescent="0.3">
      <c r="A54" s="148">
        <v>51</v>
      </c>
      <c r="B54" s="63"/>
      <c r="C54" s="149"/>
      <c r="D54" s="136"/>
      <c r="E54" s="136">
        <f>(C54+D54)*(1/((1+'SDGE Calculations'!$J$8)^$B54))</f>
        <v>0</v>
      </c>
      <c r="F54" s="150"/>
      <c r="G54" s="149"/>
      <c r="H54" s="136"/>
      <c r="I54" s="136">
        <f>(G54+H54)*(1/((1+'SDGE Calculations'!$J$8)^$B54))</f>
        <v>0</v>
      </c>
      <c r="J54" s="150"/>
      <c r="K54" s="149"/>
      <c r="L54" s="136"/>
      <c r="M54" s="136">
        <f>(K54+L54)*(1/((1+'SDGE Calculations'!$J$8)^$B54))</f>
        <v>0</v>
      </c>
      <c r="N54" s="150"/>
      <c r="O54" s="149"/>
      <c r="P54" s="136"/>
      <c r="Q54" s="150">
        <f>(O54+P54)*(1/((1+'SDGE Calculations'!$J$8)^$B54))</f>
        <v>0</v>
      </c>
    </row>
    <row r="55" spans="1:17" ht="15.6" x14ac:dyDescent="0.3">
      <c r="A55" s="148">
        <v>52</v>
      </c>
      <c r="B55" s="63"/>
      <c r="C55" s="149"/>
      <c r="D55" s="136"/>
      <c r="E55" s="136">
        <f>(C55+D55)*(1/((1+'SDGE Calculations'!$J$8)^$B55))</f>
        <v>0</v>
      </c>
      <c r="F55" s="150"/>
      <c r="G55" s="149"/>
      <c r="H55" s="136"/>
      <c r="I55" s="136">
        <f>(G55+H55)*(1/((1+'SDGE Calculations'!$J$8)^$B55))</f>
        <v>0</v>
      </c>
      <c r="J55" s="150"/>
      <c r="K55" s="149"/>
      <c r="L55" s="136"/>
      <c r="M55" s="136">
        <f>(K55+L55)*(1/((1+'SDGE Calculations'!$J$8)^$B55))</f>
        <v>0</v>
      </c>
      <c r="N55" s="150"/>
      <c r="O55" s="149"/>
      <c r="P55" s="136"/>
      <c r="Q55" s="150">
        <f>(O55+P55)*(1/((1+'SDGE Calculations'!$J$8)^$B55))</f>
        <v>0</v>
      </c>
    </row>
    <row r="56" spans="1:17" ht="15.6" x14ac:dyDescent="0.3">
      <c r="A56" s="148">
        <v>53</v>
      </c>
      <c r="B56" s="63"/>
      <c r="C56" s="149"/>
      <c r="D56" s="136"/>
      <c r="E56" s="136">
        <f>(C56+D56)*(1/((1+'SDGE Calculations'!$J$8)^$B56))</f>
        <v>0</v>
      </c>
      <c r="F56" s="150"/>
      <c r="G56" s="149"/>
      <c r="H56" s="136"/>
      <c r="I56" s="136">
        <f>(G56+H56)*(1/((1+'SDGE Calculations'!$J$8)^$B56))</f>
        <v>0</v>
      </c>
      <c r="J56" s="150"/>
      <c r="K56" s="149"/>
      <c r="L56" s="136"/>
      <c r="M56" s="136">
        <f>(K56+L56)*(1/((1+'SDGE Calculations'!$J$8)^$B56))</f>
        <v>0</v>
      </c>
      <c r="N56" s="150"/>
      <c r="O56" s="149"/>
      <c r="P56" s="136"/>
      <c r="Q56" s="150">
        <f>(O56+P56)*(1/((1+'SDGE Calculations'!$J$8)^$B56))</f>
        <v>0</v>
      </c>
    </row>
    <row r="57" spans="1:17" ht="15.6" x14ac:dyDescent="0.3">
      <c r="A57" s="148">
        <v>54</v>
      </c>
      <c r="B57" s="63"/>
      <c r="C57" s="149"/>
      <c r="D57" s="136"/>
      <c r="E57" s="136">
        <f>(C57+D57)*(1/((1+'SDGE Calculations'!$J$8)^$B57))</f>
        <v>0</v>
      </c>
      <c r="F57" s="150"/>
      <c r="G57" s="149"/>
      <c r="H57" s="136"/>
      <c r="I57" s="136">
        <f>(G57+H57)*(1/((1+'SDGE Calculations'!$J$8)^$B57))</f>
        <v>0</v>
      </c>
      <c r="J57" s="150"/>
      <c r="K57" s="149"/>
      <c r="L57" s="136"/>
      <c r="M57" s="136">
        <f>(K57+L57)*(1/((1+'SDGE Calculations'!$J$8)^$B57))</f>
        <v>0</v>
      </c>
      <c r="N57" s="150"/>
      <c r="O57" s="149"/>
      <c r="P57" s="136"/>
      <c r="Q57" s="150">
        <f>(O57+P57)*(1/((1+'SDGE Calculations'!$J$8)^$B57))</f>
        <v>0</v>
      </c>
    </row>
    <row r="58" spans="1:17" ht="15.6" x14ac:dyDescent="0.3">
      <c r="A58" s="148">
        <v>55</v>
      </c>
      <c r="B58" s="63"/>
      <c r="C58" s="149"/>
      <c r="D58" s="136"/>
      <c r="E58" s="136">
        <f>(C58+D58)*(1/((1+'SDGE Calculations'!$J$8)^$B58))</f>
        <v>0</v>
      </c>
      <c r="F58" s="150"/>
      <c r="G58" s="149"/>
      <c r="H58" s="136"/>
      <c r="I58" s="136">
        <f>(G58+H58)*(1/((1+'SDGE Calculations'!$J$8)^$B58))</f>
        <v>0</v>
      </c>
      <c r="J58" s="150"/>
      <c r="K58" s="149"/>
      <c r="L58" s="136"/>
      <c r="M58" s="136">
        <f>(K58+L58)*(1/((1+'SDGE Calculations'!$J$8)^$B58))</f>
        <v>0</v>
      </c>
      <c r="N58" s="150"/>
      <c r="O58" s="149"/>
      <c r="P58" s="136"/>
      <c r="Q58" s="150">
        <f>(O58+P58)*(1/((1+'SDGE Calculations'!$J$8)^$B58))</f>
        <v>0</v>
      </c>
    </row>
    <row r="59" spans="1:17" ht="15.6" x14ac:dyDescent="0.3">
      <c r="A59" s="148">
        <v>56</v>
      </c>
      <c r="B59" s="63"/>
      <c r="C59" s="149"/>
      <c r="D59" s="136"/>
      <c r="E59" s="136">
        <f>(C59+D59)*(1/((1+'SDGE Calculations'!$J$8)^$B59))</f>
        <v>0</v>
      </c>
      <c r="F59" s="150"/>
      <c r="G59" s="149"/>
      <c r="H59" s="136"/>
      <c r="I59" s="136">
        <f>(G59+H59)*(1/((1+'SDGE Calculations'!$J$8)^$B59))</f>
        <v>0</v>
      </c>
      <c r="J59" s="150"/>
      <c r="K59" s="149"/>
      <c r="L59" s="136"/>
      <c r="M59" s="136">
        <f>(K59+L59)*(1/((1+'SDGE Calculations'!$J$8)^$B59))</f>
        <v>0</v>
      </c>
      <c r="N59" s="150"/>
      <c r="O59" s="149"/>
      <c r="P59" s="136"/>
      <c r="Q59" s="150">
        <f>(O59+P59)*(1/((1+'SDGE Calculations'!$J$8)^$B59))</f>
        <v>0</v>
      </c>
    </row>
    <row r="60" spans="1:17" ht="15.6" x14ac:dyDescent="0.3">
      <c r="A60" s="148">
        <v>57</v>
      </c>
      <c r="B60" s="63"/>
      <c r="C60" s="149"/>
      <c r="D60" s="136"/>
      <c r="E60" s="136">
        <f>(C60+D60)*(1/((1+'SDGE Calculations'!$J$8)^$B60))</f>
        <v>0</v>
      </c>
      <c r="F60" s="150"/>
      <c r="G60" s="149"/>
      <c r="H60" s="136"/>
      <c r="I60" s="136">
        <f>(G60+H60)*(1/((1+'SDGE Calculations'!$J$8)^$B60))</f>
        <v>0</v>
      </c>
      <c r="J60" s="150"/>
      <c r="K60" s="149"/>
      <c r="L60" s="136"/>
      <c r="M60" s="136">
        <f>(K60+L60)*(1/((1+'SDGE Calculations'!$J$8)^$B60))</f>
        <v>0</v>
      </c>
      <c r="N60" s="150"/>
      <c r="O60" s="149"/>
      <c r="P60" s="136"/>
      <c r="Q60" s="150">
        <f>(O60+P60)*(1/((1+'SDGE Calculations'!$J$8)^$B60))</f>
        <v>0</v>
      </c>
    </row>
    <row r="61" spans="1:17" ht="15.6" x14ac:dyDescent="0.3">
      <c r="A61" s="148">
        <v>58</v>
      </c>
      <c r="B61" s="63"/>
      <c r="C61" s="149"/>
      <c r="D61" s="136"/>
      <c r="E61" s="136">
        <f>(C61+D61)*(1/((1+'SDGE Calculations'!$J$8)^$B61))</f>
        <v>0</v>
      </c>
      <c r="F61" s="150"/>
      <c r="G61" s="149"/>
      <c r="H61" s="136"/>
      <c r="I61" s="136">
        <f>(G61+H61)*(1/((1+'SDGE Calculations'!$J$8)^$B61))</f>
        <v>0</v>
      </c>
      <c r="J61" s="150"/>
      <c r="K61" s="149"/>
      <c r="L61" s="136"/>
      <c r="M61" s="136">
        <f>(K61+L61)*(1/((1+'SDGE Calculations'!$J$8)^$B61))</f>
        <v>0</v>
      </c>
      <c r="N61" s="150"/>
      <c r="O61" s="149"/>
      <c r="P61" s="136"/>
      <c r="Q61" s="150">
        <f>(O61+P61)*(1/((1+'SDGE Calculations'!$J$8)^$B61))</f>
        <v>0</v>
      </c>
    </row>
    <row r="62" spans="1:17" ht="15.6" x14ac:dyDescent="0.3">
      <c r="A62" s="148">
        <v>59</v>
      </c>
      <c r="B62" s="63"/>
      <c r="C62" s="149"/>
      <c r="D62" s="136"/>
      <c r="E62" s="136">
        <f>(C62+D62)*(1/((1+'SDGE Calculations'!$J$8)^$B62))</f>
        <v>0</v>
      </c>
      <c r="F62" s="150"/>
      <c r="G62" s="149"/>
      <c r="H62" s="136"/>
      <c r="I62" s="136">
        <f>(G62+H62)*(1/((1+'SDGE Calculations'!$J$8)^$B62))</f>
        <v>0</v>
      </c>
      <c r="J62" s="150"/>
      <c r="K62" s="149"/>
      <c r="L62" s="136"/>
      <c r="M62" s="136">
        <f>(K62+L62)*(1/((1+'SDGE Calculations'!$J$8)^$B62))</f>
        <v>0</v>
      </c>
      <c r="N62" s="150"/>
      <c r="O62" s="149"/>
      <c r="P62" s="136"/>
      <c r="Q62" s="150">
        <f>(O62+P62)*(1/((1+'SDGE Calculations'!$J$8)^$B62))</f>
        <v>0</v>
      </c>
    </row>
    <row r="63" spans="1:17" ht="15.6" x14ac:dyDescent="0.3">
      <c r="A63" s="148">
        <v>60</v>
      </c>
      <c r="B63" s="63"/>
      <c r="C63" s="149"/>
      <c r="D63" s="136"/>
      <c r="E63" s="136">
        <f>(C63+D63)*(1/((1+'SDGE Calculations'!$J$8)^$B63))</f>
        <v>0</v>
      </c>
      <c r="F63" s="150"/>
      <c r="G63" s="149"/>
      <c r="H63" s="136"/>
      <c r="I63" s="136">
        <f>(G63+H63)*(1/((1+'SDGE Calculations'!$J$8)^$B63))</f>
        <v>0</v>
      </c>
      <c r="J63" s="150"/>
      <c r="K63" s="149"/>
      <c r="L63" s="136"/>
      <c r="M63" s="136">
        <f>(K63+L63)*(1/((1+'SDGE Calculations'!$J$8)^$B63))</f>
        <v>0</v>
      </c>
      <c r="N63" s="150"/>
      <c r="O63" s="149"/>
      <c r="P63" s="136"/>
      <c r="Q63" s="150">
        <f>(O63+P63)*(1/((1+'SDGE Calculations'!$J$8)^$B63))</f>
        <v>0</v>
      </c>
    </row>
    <row r="64" spans="1:17" ht="15.6" x14ac:dyDescent="0.3">
      <c r="A64" s="148">
        <v>61</v>
      </c>
      <c r="B64" s="63"/>
      <c r="C64" s="149"/>
      <c r="D64" s="136"/>
      <c r="E64" s="136">
        <f>(C64+D64)*(1/((1+'SDGE Calculations'!$J$8)^$B64))</f>
        <v>0</v>
      </c>
      <c r="F64" s="150"/>
      <c r="G64" s="149"/>
      <c r="H64" s="136"/>
      <c r="I64" s="136">
        <f>(G64+H64)*(1/((1+'SDGE Calculations'!$J$8)^$B64))</f>
        <v>0</v>
      </c>
      <c r="J64" s="150"/>
      <c r="K64" s="149"/>
      <c r="L64" s="136"/>
      <c r="M64" s="136">
        <f>(K64+L64)*(1/((1+'SDGE Calculations'!$J$8)^$B64))</f>
        <v>0</v>
      </c>
      <c r="N64" s="150"/>
      <c r="O64" s="149"/>
      <c r="P64" s="136"/>
      <c r="Q64" s="150">
        <f>(O64+P64)*(1/((1+'SDGE Calculations'!$J$8)^$B64))</f>
        <v>0</v>
      </c>
    </row>
    <row r="65" spans="1:17" ht="15.6" x14ac:dyDescent="0.3">
      <c r="A65" s="148">
        <v>62</v>
      </c>
      <c r="B65" s="63"/>
      <c r="C65" s="149"/>
      <c r="D65" s="136"/>
      <c r="E65" s="136">
        <f>(C65+D65)*(1/((1+'SDGE Calculations'!$J$8)^$B65))</f>
        <v>0</v>
      </c>
      <c r="F65" s="150"/>
      <c r="G65" s="149"/>
      <c r="H65" s="136"/>
      <c r="I65" s="136">
        <f>(G65+H65)*(1/((1+'SDGE Calculations'!$J$8)^$B65))</f>
        <v>0</v>
      </c>
      <c r="J65" s="150"/>
      <c r="K65" s="149"/>
      <c r="L65" s="136"/>
      <c r="M65" s="136">
        <f>(K65+L65)*(1/((1+'SDGE Calculations'!$J$8)^$B65))</f>
        <v>0</v>
      </c>
      <c r="N65" s="150"/>
      <c r="O65" s="149"/>
      <c r="P65" s="136"/>
      <c r="Q65" s="150">
        <f>(O65+P65)*(1/((1+'SDGE Calculations'!$J$8)^$B65))</f>
        <v>0</v>
      </c>
    </row>
    <row r="66" spans="1:17" ht="15.6" x14ac:dyDescent="0.3">
      <c r="A66" s="148">
        <v>63</v>
      </c>
      <c r="B66" s="63"/>
      <c r="C66" s="149"/>
      <c r="D66" s="136"/>
      <c r="E66" s="136">
        <f>(C66+D66)*(1/((1+'SDGE Calculations'!$J$8)^$B66))</f>
        <v>0</v>
      </c>
      <c r="F66" s="150"/>
      <c r="G66" s="149"/>
      <c r="H66" s="136"/>
      <c r="I66" s="136">
        <f>(G66+H66)*(1/((1+'SDGE Calculations'!$J$8)^$B66))</f>
        <v>0</v>
      </c>
      <c r="J66" s="150"/>
      <c r="K66" s="149"/>
      <c r="L66" s="136"/>
      <c r="M66" s="136">
        <f>(K66+L66)*(1/((1+'SDGE Calculations'!$J$8)^$B66))</f>
        <v>0</v>
      </c>
      <c r="N66" s="150"/>
      <c r="O66" s="149"/>
      <c r="P66" s="136"/>
      <c r="Q66" s="150">
        <f>(O66+P66)*(1/((1+'SDGE Calculations'!$J$8)^$B66))</f>
        <v>0</v>
      </c>
    </row>
    <row r="67" spans="1:17" ht="15.6" x14ac:dyDescent="0.3">
      <c r="A67" s="148">
        <v>64</v>
      </c>
      <c r="B67" s="63"/>
      <c r="C67" s="149"/>
      <c r="D67" s="136"/>
      <c r="E67" s="136">
        <f>(C67+D67)*(1/((1+'SDGE Calculations'!$J$8)^$B67))</f>
        <v>0</v>
      </c>
      <c r="F67" s="150"/>
      <c r="G67" s="149"/>
      <c r="H67" s="136"/>
      <c r="I67" s="136">
        <f>(G67+H67)*(1/((1+'SDGE Calculations'!$J$8)^$B67))</f>
        <v>0</v>
      </c>
      <c r="J67" s="150"/>
      <c r="K67" s="149"/>
      <c r="L67" s="136"/>
      <c r="M67" s="136">
        <f>(K67+L67)*(1/((1+'SDGE Calculations'!$J$8)^$B67))</f>
        <v>0</v>
      </c>
      <c r="N67" s="150"/>
      <c r="O67" s="149"/>
      <c r="P67" s="136"/>
      <c r="Q67" s="150">
        <f>(O67+P67)*(1/((1+'SDGE Calculations'!$J$8)^$B67))</f>
        <v>0</v>
      </c>
    </row>
    <row r="68" spans="1:17" ht="15.6" x14ac:dyDescent="0.3">
      <c r="A68" s="148">
        <v>65</v>
      </c>
      <c r="B68" s="63"/>
      <c r="C68" s="149"/>
      <c r="D68" s="136"/>
      <c r="E68" s="136">
        <f>(C68+D68)*(1/((1+'SDGE Calculations'!$J$8)^$B68))</f>
        <v>0</v>
      </c>
      <c r="F68" s="150"/>
      <c r="G68" s="149"/>
      <c r="H68" s="136"/>
      <c r="I68" s="136">
        <f>(G68+H68)*(1/((1+'SDGE Calculations'!$J$8)^$B68))</f>
        <v>0</v>
      </c>
      <c r="J68" s="150"/>
      <c r="K68" s="149"/>
      <c r="L68" s="136"/>
      <c r="M68" s="136">
        <f>(K68+L68)*(1/((1+'SDGE Calculations'!$J$8)^$B68))</f>
        <v>0</v>
      </c>
      <c r="N68" s="150"/>
      <c r="O68" s="149"/>
      <c r="P68" s="136"/>
      <c r="Q68" s="150">
        <f>(O68+P68)*(1/((1+'SDGE Calculations'!$J$8)^$B68))</f>
        <v>0</v>
      </c>
    </row>
    <row r="69" spans="1:17" ht="15.6" x14ac:dyDescent="0.3">
      <c r="A69" s="148">
        <v>66</v>
      </c>
      <c r="B69" s="63"/>
      <c r="C69" s="149"/>
      <c r="D69" s="136"/>
      <c r="E69" s="136">
        <f>(C69+D69)*(1/((1+'SDGE Calculations'!$J$8)^$B69))</f>
        <v>0</v>
      </c>
      <c r="F69" s="150"/>
      <c r="G69" s="149"/>
      <c r="H69" s="136"/>
      <c r="I69" s="136">
        <f>(G69+H69)*(1/((1+'SDGE Calculations'!$J$8)^$B69))</f>
        <v>0</v>
      </c>
      <c r="J69" s="150"/>
      <c r="K69" s="149"/>
      <c r="L69" s="136"/>
      <c r="M69" s="136">
        <f>(K69+L69)*(1/((1+'SDGE Calculations'!$J$8)^$B69))</f>
        <v>0</v>
      </c>
      <c r="N69" s="150"/>
      <c r="O69" s="149"/>
      <c r="P69" s="136"/>
      <c r="Q69" s="150">
        <f>(O69+P69)*(1/((1+'SDGE Calculations'!$J$8)^$B69))</f>
        <v>0</v>
      </c>
    </row>
    <row r="70" spans="1:17" ht="15.6" x14ac:dyDescent="0.3">
      <c r="A70" s="148">
        <v>67</v>
      </c>
      <c r="B70" s="63"/>
      <c r="C70" s="149"/>
      <c r="D70" s="136"/>
      <c r="E70" s="136">
        <f>(C70+D70)*(1/((1+'SDGE Calculations'!$J$8)^$B70))</f>
        <v>0</v>
      </c>
      <c r="F70" s="150"/>
      <c r="G70" s="149"/>
      <c r="H70" s="136"/>
      <c r="I70" s="136">
        <f>(G70+H70)*(1/((1+'SDGE Calculations'!$J$8)^$B70))</f>
        <v>0</v>
      </c>
      <c r="J70" s="150"/>
      <c r="K70" s="149"/>
      <c r="L70" s="136"/>
      <c r="M70" s="136">
        <f>(K70+L70)*(1/((1+'SDGE Calculations'!$J$8)^$B70))</f>
        <v>0</v>
      </c>
      <c r="N70" s="150"/>
      <c r="O70" s="149"/>
      <c r="P70" s="136"/>
      <c r="Q70" s="150">
        <f>(O70+P70)*(1/((1+'SDGE Calculations'!$J$8)^$B70))</f>
        <v>0</v>
      </c>
    </row>
    <row r="71" spans="1:17" ht="15.6" x14ac:dyDescent="0.3">
      <c r="A71" s="148">
        <v>68</v>
      </c>
      <c r="B71" s="63"/>
      <c r="C71" s="149"/>
      <c r="D71" s="136"/>
      <c r="E71" s="136">
        <f>(C71+D71)*(1/((1+'SDGE Calculations'!$J$8)^$B71))</f>
        <v>0</v>
      </c>
      <c r="F71" s="150"/>
      <c r="G71" s="149"/>
      <c r="H71" s="136"/>
      <c r="I71" s="136">
        <f>(G71+H71)*(1/((1+'SDGE Calculations'!$J$8)^$B71))</f>
        <v>0</v>
      </c>
      <c r="J71" s="150"/>
      <c r="K71" s="149"/>
      <c r="L71" s="136"/>
      <c r="M71" s="136">
        <f>(K71+L71)*(1/((1+'SDGE Calculations'!$J$8)^$B71))</f>
        <v>0</v>
      </c>
      <c r="N71" s="150"/>
      <c r="O71" s="149"/>
      <c r="P71" s="136"/>
      <c r="Q71" s="150">
        <f>(O71+P71)*(1/((1+'SDGE Calculations'!$J$8)^$B71))</f>
        <v>0</v>
      </c>
    </row>
    <row r="72" spans="1:17" ht="15.6" x14ac:dyDescent="0.3">
      <c r="A72" s="148">
        <v>69</v>
      </c>
      <c r="B72" s="63"/>
      <c r="C72" s="149"/>
      <c r="D72" s="136"/>
      <c r="E72" s="136">
        <f>(C72+D72)*(1/((1+'SDGE Calculations'!$J$8)^$B72))</f>
        <v>0</v>
      </c>
      <c r="F72" s="150"/>
      <c r="G72" s="149"/>
      <c r="H72" s="136"/>
      <c r="I72" s="136">
        <f>(G72+H72)*(1/((1+'SDGE Calculations'!$J$8)^$B72))</f>
        <v>0</v>
      </c>
      <c r="J72" s="150"/>
      <c r="K72" s="149"/>
      <c r="L72" s="136"/>
      <c r="M72" s="136">
        <f>(K72+L72)*(1/((1+'SDGE Calculations'!$J$8)^$B72))</f>
        <v>0</v>
      </c>
      <c r="N72" s="150"/>
      <c r="O72" s="149"/>
      <c r="P72" s="136"/>
      <c r="Q72" s="150">
        <f>(O72+P72)*(1/((1+'SDGE Calculations'!$J$8)^$B72))</f>
        <v>0</v>
      </c>
    </row>
    <row r="73" spans="1:17" ht="15.6" x14ac:dyDescent="0.3">
      <c r="A73" s="148">
        <v>70</v>
      </c>
      <c r="B73" s="63"/>
      <c r="C73" s="149"/>
      <c r="D73" s="136"/>
      <c r="E73" s="136">
        <f>(C73+D73)*(1/((1+'SDGE Calculations'!$J$8)^$B73))</f>
        <v>0</v>
      </c>
      <c r="F73" s="150"/>
      <c r="G73" s="149"/>
      <c r="H73" s="136"/>
      <c r="I73" s="136">
        <f>(G73+H73)*(1/((1+'SDGE Calculations'!$J$8)^$B73))</f>
        <v>0</v>
      </c>
      <c r="J73" s="150"/>
      <c r="K73" s="149"/>
      <c r="L73" s="136"/>
      <c r="M73" s="136">
        <f>(K73+L73)*(1/((1+'SDGE Calculations'!$J$8)^$B73))</f>
        <v>0</v>
      </c>
      <c r="N73" s="150"/>
      <c r="O73" s="149"/>
      <c r="P73" s="136"/>
      <c r="Q73" s="150">
        <f>(O73+P73)*(1/((1+'SDGE Calculations'!$J$8)^$B73))</f>
        <v>0</v>
      </c>
    </row>
    <row r="74" spans="1:17" ht="15.6" x14ac:dyDescent="0.3">
      <c r="A74" s="148">
        <v>71</v>
      </c>
      <c r="B74" s="63"/>
      <c r="C74" s="149"/>
      <c r="D74" s="136"/>
      <c r="E74" s="136">
        <f>(C74+D74)*(1/((1+'SDGE Calculations'!$J$8)^$B74))</f>
        <v>0</v>
      </c>
      <c r="F74" s="150"/>
      <c r="G74" s="149"/>
      <c r="H74" s="136"/>
      <c r="I74" s="136">
        <f>(G74+H74)*(1/((1+'SDGE Calculations'!$J$8)^$B74))</f>
        <v>0</v>
      </c>
      <c r="J74" s="150"/>
      <c r="K74" s="149"/>
      <c r="L74" s="136"/>
      <c r="M74" s="136">
        <f>(K74+L74)*(1/((1+'SDGE Calculations'!$J$8)^$B74))</f>
        <v>0</v>
      </c>
      <c r="N74" s="150"/>
      <c r="O74" s="149"/>
      <c r="P74" s="136"/>
      <c r="Q74" s="150">
        <f>(O74+P74)*(1/((1+'SDGE Calculations'!$J$8)^$B74))</f>
        <v>0</v>
      </c>
    </row>
    <row r="75" spans="1:17" ht="15.6" x14ac:dyDescent="0.3">
      <c r="A75" s="148">
        <v>72</v>
      </c>
      <c r="B75" s="63"/>
      <c r="C75" s="149"/>
      <c r="D75" s="136"/>
      <c r="E75" s="136">
        <f>(C75+D75)*(1/((1+'SDGE Calculations'!$J$8)^$B75))</f>
        <v>0</v>
      </c>
      <c r="F75" s="150"/>
      <c r="G75" s="149"/>
      <c r="H75" s="136"/>
      <c r="I75" s="136">
        <f>(G75+H75)*(1/((1+'SDGE Calculations'!$J$8)^$B75))</f>
        <v>0</v>
      </c>
      <c r="J75" s="150"/>
      <c r="K75" s="149"/>
      <c r="L75" s="136"/>
      <c r="M75" s="136">
        <f>(K75+L75)*(1/((1+'SDGE Calculations'!$J$8)^$B75))</f>
        <v>0</v>
      </c>
      <c r="N75" s="150"/>
      <c r="O75" s="149"/>
      <c r="P75" s="136"/>
      <c r="Q75" s="150">
        <f>(O75+P75)*(1/((1+'SDGE Calculations'!$J$8)^$B75))</f>
        <v>0</v>
      </c>
    </row>
    <row r="76" spans="1:17" ht="15.6" x14ac:dyDescent="0.3">
      <c r="A76" s="148">
        <v>73</v>
      </c>
      <c r="B76" s="63"/>
      <c r="C76" s="149"/>
      <c r="D76" s="136"/>
      <c r="E76" s="136">
        <f>(C76+D76)*(1/((1+'SDGE Calculations'!$J$8)^$B76))</f>
        <v>0</v>
      </c>
      <c r="F76" s="150"/>
      <c r="G76" s="149"/>
      <c r="H76" s="136"/>
      <c r="I76" s="136">
        <f>(G76+H76)*(1/((1+'SDGE Calculations'!$J$8)^$B76))</f>
        <v>0</v>
      </c>
      <c r="J76" s="150"/>
      <c r="K76" s="149"/>
      <c r="L76" s="136"/>
      <c r="M76" s="136">
        <f>(K76+L76)*(1/((1+'SDGE Calculations'!$J$8)^$B76))</f>
        <v>0</v>
      </c>
      <c r="N76" s="150"/>
      <c r="O76" s="149"/>
      <c r="P76" s="136"/>
      <c r="Q76" s="150">
        <f>(O76+P76)*(1/((1+'SDGE Calculations'!$J$8)^$B76))</f>
        <v>0</v>
      </c>
    </row>
    <row r="77" spans="1:17" ht="15.6" x14ac:dyDescent="0.3">
      <c r="A77" s="148">
        <v>74</v>
      </c>
      <c r="B77" s="63"/>
      <c r="C77" s="149"/>
      <c r="D77" s="136"/>
      <c r="E77" s="136">
        <f>(C77+D77)*(1/((1+'SDGE Calculations'!$J$8)^$B77))</f>
        <v>0</v>
      </c>
      <c r="F77" s="150"/>
      <c r="G77" s="149"/>
      <c r="H77" s="136"/>
      <c r="I77" s="136">
        <f>(G77+H77)*(1/((1+'SDGE Calculations'!$J$8)^$B77))</f>
        <v>0</v>
      </c>
      <c r="J77" s="150"/>
      <c r="K77" s="149"/>
      <c r="L77" s="136"/>
      <c r="M77" s="136">
        <f>(K77+L77)*(1/((1+'SDGE Calculations'!$J$8)^$B77))</f>
        <v>0</v>
      </c>
      <c r="N77" s="150"/>
      <c r="O77" s="149"/>
      <c r="P77" s="136"/>
      <c r="Q77" s="150">
        <f>(O77+P77)*(1/((1+'SDGE Calculations'!$J$8)^$B77))</f>
        <v>0</v>
      </c>
    </row>
    <row r="78" spans="1:17" ht="15.6" x14ac:dyDescent="0.3">
      <c r="A78" s="148">
        <v>75</v>
      </c>
      <c r="B78" s="63"/>
      <c r="C78" s="149"/>
      <c r="D78" s="136"/>
      <c r="E78" s="136">
        <f>(C78+D78)*(1/((1+'SDGE Calculations'!$J$8)^$B78))</f>
        <v>0</v>
      </c>
      <c r="F78" s="150"/>
      <c r="G78" s="149"/>
      <c r="H78" s="136"/>
      <c r="I78" s="136">
        <f>(G78+H78)*(1/((1+'SDGE Calculations'!$J$8)^$B78))</f>
        <v>0</v>
      </c>
      <c r="J78" s="150"/>
      <c r="K78" s="149"/>
      <c r="L78" s="136"/>
      <c r="M78" s="136">
        <f>(K78+L78)*(1/((1+'SDGE Calculations'!$J$8)^$B78))</f>
        <v>0</v>
      </c>
      <c r="N78" s="150"/>
      <c r="O78" s="149"/>
      <c r="P78" s="136"/>
      <c r="Q78" s="150">
        <f>(O78+P78)*(1/((1+'SDGE Calculations'!$J$8)^$B78))</f>
        <v>0</v>
      </c>
    </row>
    <row r="79" spans="1:17" ht="15.6" x14ac:dyDescent="0.3">
      <c r="A79" s="148">
        <v>76</v>
      </c>
      <c r="B79" s="63"/>
      <c r="C79" s="149"/>
      <c r="D79" s="136"/>
      <c r="E79" s="136">
        <f>(C79+D79)*(1/((1+'SDGE Calculations'!$J$8)^$B79))</f>
        <v>0</v>
      </c>
      <c r="F79" s="150"/>
      <c r="G79" s="149"/>
      <c r="H79" s="136"/>
      <c r="I79" s="136">
        <f>(G79+H79)*(1/((1+'SDGE Calculations'!$J$8)^$B79))</f>
        <v>0</v>
      </c>
      <c r="J79" s="150"/>
      <c r="K79" s="149"/>
      <c r="L79" s="136"/>
      <c r="M79" s="136">
        <f>(K79+L79)*(1/((1+'SDGE Calculations'!$J$8)^$B79))</f>
        <v>0</v>
      </c>
      <c r="N79" s="150"/>
      <c r="O79" s="149"/>
      <c r="P79" s="136"/>
      <c r="Q79" s="150">
        <f>(O79+P79)*(1/((1+'SDGE Calculations'!$J$8)^$B79))</f>
        <v>0</v>
      </c>
    </row>
    <row r="80" spans="1:17" ht="15.6" x14ac:dyDescent="0.3">
      <c r="A80" s="148">
        <v>77</v>
      </c>
      <c r="B80" s="63"/>
      <c r="C80" s="149"/>
      <c r="D80" s="136"/>
      <c r="E80" s="136">
        <f>(C80+D80)*(1/((1+'SDGE Calculations'!$J$8)^$B80))</f>
        <v>0</v>
      </c>
      <c r="F80" s="150"/>
      <c r="G80" s="149"/>
      <c r="H80" s="136"/>
      <c r="I80" s="136">
        <f>(G80+H80)*(1/((1+'SDGE Calculations'!$J$8)^$B80))</f>
        <v>0</v>
      </c>
      <c r="J80" s="150"/>
      <c r="K80" s="149"/>
      <c r="L80" s="136"/>
      <c r="M80" s="136">
        <f>(K80+L80)*(1/((1+'SDGE Calculations'!$J$8)^$B80))</f>
        <v>0</v>
      </c>
      <c r="N80" s="150"/>
      <c r="O80" s="149"/>
      <c r="P80" s="136"/>
      <c r="Q80" s="150">
        <f>(O80+P80)*(1/((1+'SDGE Calculations'!$J$8)^$B80))</f>
        <v>0</v>
      </c>
    </row>
    <row r="81" spans="1:17" ht="15.6" x14ac:dyDescent="0.3">
      <c r="A81" s="148">
        <v>78</v>
      </c>
      <c r="B81" s="63"/>
      <c r="C81" s="149"/>
      <c r="D81" s="136"/>
      <c r="E81" s="136">
        <f>(C81+D81)*(1/((1+'SDGE Calculations'!$J$8)^$B81))</f>
        <v>0</v>
      </c>
      <c r="F81" s="150"/>
      <c r="G81" s="149"/>
      <c r="H81" s="136"/>
      <c r="I81" s="136">
        <f>(G81+H81)*(1/((1+'SDGE Calculations'!$J$8)^$B81))</f>
        <v>0</v>
      </c>
      <c r="J81" s="150"/>
      <c r="K81" s="149"/>
      <c r="L81" s="136"/>
      <c r="M81" s="136">
        <f>(K81+L81)*(1/((1+'SDGE Calculations'!$J$8)^$B81))</f>
        <v>0</v>
      </c>
      <c r="N81" s="150"/>
      <c r="O81" s="149"/>
      <c r="P81" s="136"/>
      <c r="Q81" s="150">
        <f>(O81+P81)*(1/((1+'SDGE Calculations'!$J$8)^$B81))</f>
        <v>0</v>
      </c>
    </row>
    <row r="82" spans="1:17" ht="15.6" x14ac:dyDescent="0.3">
      <c r="A82" s="148">
        <v>79</v>
      </c>
      <c r="B82" s="63"/>
      <c r="C82" s="149"/>
      <c r="D82" s="136"/>
      <c r="E82" s="136">
        <f>(C82+D82)*(1/((1+'SDGE Calculations'!$J$8)^$B82))</f>
        <v>0</v>
      </c>
      <c r="F82" s="150"/>
      <c r="G82" s="149"/>
      <c r="H82" s="136"/>
      <c r="I82" s="136">
        <f>(G82+H82)*(1/((1+'SDGE Calculations'!$J$8)^$B82))</f>
        <v>0</v>
      </c>
      <c r="J82" s="150"/>
      <c r="K82" s="149"/>
      <c r="L82" s="136"/>
      <c r="M82" s="136">
        <f>(K82+L82)*(1/((1+'SDGE Calculations'!$J$8)^$B82))</f>
        <v>0</v>
      </c>
      <c r="N82" s="150"/>
      <c r="O82" s="149"/>
      <c r="P82" s="136"/>
      <c r="Q82" s="150">
        <f>(O82+P82)*(1/((1+'SDGE Calculations'!$J$8)^$B82))</f>
        <v>0</v>
      </c>
    </row>
    <row r="83" spans="1:17" ht="15.6" x14ac:dyDescent="0.3">
      <c r="A83" s="148">
        <v>80</v>
      </c>
      <c r="B83" s="63"/>
      <c r="C83" s="149"/>
      <c r="D83" s="136"/>
      <c r="E83" s="136">
        <f>(C83+D83)*(1/((1+'SDGE Calculations'!$J$8)^$B83))</f>
        <v>0</v>
      </c>
      <c r="F83" s="150"/>
      <c r="G83" s="149"/>
      <c r="H83" s="136"/>
      <c r="I83" s="136">
        <f>(G83+H83)*(1/((1+'SDGE Calculations'!$J$8)^$B83))</f>
        <v>0</v>
      </c>
      <c r="J83" s="150"/>
      <c r="K83" s="149"/>
      <c r="L83" s="136"/>
      <c r="M83" s="136">
        <f>(K83+L83)*(1/((1+'SDGE Calculations'!$J$8)^$B83))</f>
        <v>0</v>
      </c>
      <c r="N83" s="150"/>
      <c r="O83" s="149"/>
      <c r="P83" s="136"/>
      <c r="Q83" s="150">
        <f>(O83+P83)*(1/((1+'SDGE Calculations'!$J$8)^$B83))</f>
        <v>0</v>
      </c>
    </row>
    <row r="84" spans="1:17" ht="15.6" x14ac:dyDescent="0.3">
      <c r="A84" s="148">
        <v>81</v>
      </c>
      <c r="B84" s="63"/>
      <c r="C84" s="149"/>
      <c r="D84" s="136"/>
      <c r="E84" s="136">
        <f>(C84+D84)*(1/((1+'SDGE Calculations'!$J$8)^$B84))</f>
        <v>0</v>
      </c>
      <c r="F84" s="150"/>
      <c r="G84" s="149"/>
      <c r="H84" s="136"/>
      <c r="I84" s="136">
        <f>(G84+H84)*(1/((1+'SDGE Calculations'!$J$8)^$B84))</f>
        <v>0</v>
      </c>
      <c r="J84" s="150"/>
      <c r="K84" s="149"/>
      <c r="L84" s="136"/>
      <c r="M84" s="136">
        <f>(K84+L84)*(1/((1+'SDGE Calculations'!$J$8)^$B84))</f>
        <v>0</v>
      </c>
      <c r="N84" s="150"/>
      <c r="O84" s="149"/>
      <c r="P84" s="136"/>
      <c r="Q84" s="150">
        <f>(O84+P84)*(1/((1+'SDGE Calculations'!$J$8)^$B84))</f>
        <v>0</v>
      </c>
    </row>
    <row r="85" spans="1:17" ht="15.6" x14ac:dyDescent="0.3">
      <c r="A85" s="148">
        <v>82</v>
      </c>
      <c r="B85" s="63"/>
      <c r="C85" s="149"/>
      <c r="D85" s="136"/>
      <c r="E85" s="136">
        <f>(C85+D85)*(1/((1+'SDGE Calculations'!$J$8)^$B85))</f>
        <v>0</v>
      </c>
      <c r="F85" s="150"/>
      <c r="G85" s="149"/>
      <c r="H85" s="136"/>
      <c r="I85" s="136">
        <f>(G85+H85)*(1/((1+'SDGE Calculations'!$J$8)^$B85))</f>
        <v>0</v>
      </c>
      <c r="J85" s="150"/>
      <c r="K85" s="149"/>
      <c r="L85" s="136"/>
      <c r="M85" s="136">
        <f>(K85+L85)*(1/((1+'SDGE Calculations'!$J$8)^$B85))</f>
        <v>0</v>
      </c>
      <c r="N85" s="150"/>
      <c r="O85" s="149"/>
      <c r="P85" s="136"/>
      <c r="Q85" s="150">
        <f>(O85+P85)*(1/((1+'SDGE Calculations'!$J$8)^$B85))</f>
        <v>0</v>
      </c>
    </row>
    <row r="86" spans="1:17" ht="15.6" x14ac:dyDescent="0.3">
      <c r="A86" s="148">
        <v>83</v>
      </c>
      <c r="B86" s="63"/>
      <c r="C86" s="149"/>
      <c r="D86" s="136"/>
      <c r="E86" s="136">
        <f>(C86+D86)*(1/((1+'SDGE Calculations'!$J$8)^$B86))</f>
        <v>0</v>
      </c>
      <c r="F86" s="150"/>
      <c r="G86" s="149"/>
      <c r="H86" s="136"/>
      <c r="I86" s="136">
        <f>(G86+H86)*(1/((1+'SDGE Calculations'!$J$8)^$B86))</f>
        <v>0</v>
      </c>
      <c r="J86" s="150"/>
      <c r="K86" s="149"/>
      <c r="L86" s="136"/>
      <c r="M86" s="136">
        <f>(K86+L86)*(1/((1+'SDGE Calculations'!$J$8)^$B86))</f>
        <v>0</v>
      </c>
      <c r="N86" s="150"/>
      <c r="O86" s="149"/>
      <c r="P86" s="136"/>
      <c r="Q86" s="150">
        <f>(O86+P86)*(1/((1+'SDGE Calculations'!$J$8)^$B86))</f>
        <v>0</v>
      </c>
    </row>
    <row r="87" spans="1:17" ht="15.6" x14ac:dyDescent="0.3">
      <c r="A87" s="148">
        <v>84</v>
      </c>
      <c r="B87" s="63"/>
      <c r="C87" s="149"/>
      <c r="D87" s="136"/>
      <c r="E87" s="136">
        <f>(C87+D87)*(1/((1+'SDGE Calculations'!$J$8)^$B87))</f>
        <v>0</v>
      </c>
      <c r="F87" s="150"/>
      <c r="G87" s="149"/>
      <c r="H87" s="136"/>
      <c r="I87" s="136">
        <f>(G87+H87)*(1/((1+'SDGE Calculations'!$J$8)^$B87))</f>
        <v>0</v>
      </c>
      <c r="J87" s="150"/>
      <c r="K87" s="149"/>
      <c r="L87" s="136"/>
      <c r="M87" s="136">
        <f>(K87+L87)*(1/((1+'SDGE Calculations'!$J$8)^$B87))</f>
        <v>0</v>
      </c>
      <c r="N87" s="150"/>
      <c r="O87" s="149"/>
      <c r="P87" s="136"/>
      <c r="Q87" s="150">
        <f>(O87+P87)*(1/((1+'SDGE Calculations'!$J$8)^$B87))</f>
        <v>0</v>
      </c>
    </row>
    <row r="88" spans="1:17" ht="15.6" x14ac:dyDescent="0.3">
      <c r="A88" s="148">
        <v>85</v>
      </c>
      <c r="B88" s="63"/>
      <c r="C88" s="149"/>
      <c r="D88" s="136"/>
      <c r="E88" s="136">
        <f>(C88+D88)*(1/((1+'SDGE Calculations'!$J$8)^$B88))</f>
        <v>0</v>
      </c>
      <c r="F88" s="150"/>
      <c r="G88" s="149"/>
      <c r="H88" s="136"/>
      <c r="I88" s="136">
        <f>(G88+H88)*(1/((1+'SDGE Calculations'!$J$8)^$B88))</f>
        <v>0</v>
      </c>
      <c r="J88" s="150"/>
      <c r="K88" s="149"/>
      <c r="L88" s="136"/>
      <c r="M88" s="136">
        <f>(K88+L88)*(1/((1+'SDGE Calculations'!$J$8)^$B88))</f>
        <v>0</v>
      </c>
      <c r="N88" s="150"/>
      <c r="O88" s="149"/>
      <c r="P88" s="136"/>
      <c r="Q88" s="150">
        <f>(O88+P88)*(1/((1+'SDGE Calculations'!$J$8)^$B88))</f>
        <v>0</v>
      </c>
    </row>
    <row r="89" spans="1:17" ht="15.6" x14ac:dyDescent="0.3">
      <c r="A89" s="148">
        <v>86</v>
      </c>
      <c r="B89" s="63"/>
      <c r="C89" s="149"/>
      <c r="D89" s="136"/>
      <c r="E89" s="136">
        <f>(C89+D89)*(1/((1+'SDGE Calculations'!$J$8)^$B89))</f>
        <v>0</v>
      </c>
      <c r="F89" s="150"/>
      <c r="G89" s="149"/>
      <c r="H89" s="136"/>
      <c r="I89" s="136">
        <f>(G89+H89)*(1/((1+'SDGE Calculations'!$J$8)^$B89))</f>
        <v>0</v>
      </c>
      <c r="J89" s="150"/>
      <c r="K89" s="149"/>
      <c r="L89" s="136"/>
      <c r="M89" s="136">
        <f>(K89+L89)*(1/((1+'SDGE Calculations'!$J$8)^$B89))</f>
        <v>0</v>
      </c>
      <c r="N89" s="150"/>
      <c r="O89" s="149"/>
      <c r="P89" s="136"/>
      <c r="Q89" s="150">
        <f>(O89+P89)*(1/((1+'SDGE Calculations'!$J$8)^$B89))</f>
        <v>0</v>
      </c>
    </row>
    <row r="90" spans="1:17" ht="15.6" x14ac:dyDescent="0.3">
      <c r="A90" s="148">
        <v>87</v>
      </c>
      <c r="B90" s="63"/>
      <c r="C90" s="149"/>
      <c r="D90" s="136"/>
      <c r="E90" s="136">
        <f>(C90+D90)*(1/((1+'SDGE Calculations'!$J$8)^$B90))</f>
        <v>0</v>
      </c>
      <c r="F90" s="150"/>
      <c r="G90" s="149"/>
      <c r="H90" s="136"/>
      <c r="I90" s="136">
        <f>(G90+H90)*(1/((1+'SDGE Calculations'!$J$8)^$B90))</f>
        <v>0</v>
      </c>
      <c r="J90" s="150"/>
      <c r="K90" s="149"/>
      <c r="L90" s="136"/>
      <c r="M90" s="136">
        <f>(K90+L90)*(1/((1+'SDGE Calculations'!$J$8)^$B90))</f>
        <v>0</v>
      </c>
      <c r="N90" s="150"/>
      <c r="O90" s="149"/>
      <c r="P90" s="136"/>
      <c r="Q90" s="150">
        <f>(O90+P90)*(1/((1+'SDGE Calculations'!$J$8)^$B90))</f>
        <v>0</v>
      </c>
    </row>
    <row r="91" spans="1:17" ht="15.6" x14ac:dyDescent="0.3">
      <c r="A91" s="148">
        <v>88</v>
      </c>
      <c r="B91" s="63"/>
      <c r="C91" s="149"/>
      <c r="D91" s="136"/>
      <c r="E91" s="136">
        <f>(C91+D91)*(1/((1+'SDGE Calculations'!$J$8)^$B91))</f>
        <v>0</v>
      </c>
      <c r="F91" s="150"/>
      <c r="G91" s="149"/>
      <c r="H91" s="136"/>
      <c r="I91" s="136">
        <f>(G91+H91)*(1/((1+'SDGE Calculations'!$J$8)^$B91))</f>
        <v>0</v>
      </c>
      <c r="J91" s="150"/>
      <c r="K91" s="149"/>
      <c r="L91" s="136"/>
      <c r="M91" s="136">
        <f>(K91+L91)*(1/((1+'SDGE Calculations'!$J$8)^$B91))</f>
        <v>0</v>
      </c>
      <c r="N91" s="150"/>
      <c r="O91" s="149"/>
      <c r="P91" s="136"/>
      <c r="Q91" s="150">
        <f>(O91+P91)*(1/((1+'SDGE Calculations'!$J$8)^$B91))</f>
        <v>0</v>
      </c>
    </row>
    <row r="92" spans="1:17" ht="15.6" x14ac:dyDescent="0.3">
      <c r="A92" s="148">
        <v>89</v>
      </c>
      <c r="B92" s="63"/>
      <c r="C92" s="149"/>
      <c r="D92" s="136"/>
      <c r="E92" s="136">
        <f>(C92+D92)*(1/((1+'SDGE Calculations'!$J$8)^$B92))</f>
        <v>0</v>
      </c>
      <c r="F92" s="150"/>
      <c r="G92" s="149"/>
      <c r="H92" s="136"/>
      <c r="I92" s="136">
        <f>(G92+H92)*(1/((1+'SDGE Calculations'!$J$8)^$B92))</f>
        <v>0</v>
      </c>
      <c r="J92" s="150"/>
      <c r="K92" s="149"/>
      <c r="L92" s="136"/>
      <c r="M92" s="136">
        <f>(K92+L92)*(1/((1+'SDGE Calculations'!$J$8)^$B92))</f>
        <v>0</v>
      </c>
      <c r="N92" s="150"/>
      <c r="O92" s="149"/>
      <c r="P92" s="136"/>
      <c r="Q92" s="150">
        <f>(O92+P92)*(1/((1+'SDGE Calculations'!$J$8)^$B92))</f>
        <v>0</v>
      </c>
    </row>
    <row r="93" spans="1:17" ht="15.6" x14ac:dyDescent="0.3">
      <c r="A93" s="148">
        <v>90</v>
      </c>
      <c r="B93" s="63"/>
      <c r="C93" s="149"/>
      <c r="D93" s="136"/>
      <c r="E93" s="136">
        <f>(C93+D93)*(1/((1+'SDGE Calculations'!$J$8)^$B93))</f>
        <v>0</v>
      </c>
      <c r="F93" s="150"/>
      <c r="G93" s="149"/>
      <c r="H93" s="136"/>
      <c r="I93" s="136">
        <f>(G93+H93)*(1/((1+'SDGE Calculations'!$J$8)^$B93))</f>
        <v>0</v>
      </c>
      <c r="J93" s="150"/>
      <c r="K93" s="149"/>
      <c r="L93" s="136"/>
      <c r="M93" s="136">
        <f>(K93+L93)*(1/((1+'SDGE Calculations'!$J$8)^$B93))</f>
        <v>0</v>
      </c>
      <c r="N93" s="150"/>
      <c r="O93" s="149"/>
      <c r="P93" s="136"/>
      <c r="Q93" s="150">
        <f>(O93+P93)*(1/((1+'SDGE Calculations'!$J$8)^$B93))</f>
        <v>0</v>
      </c>
    </row>
    <row r="94" spans="1:17" ht="15.6" x14ac:dyDescent="0.3">
      <c r="A94" s="148">
        <v>91</v>
      </c>
      <c r="B94" s="63"/>
      <c r="C94" s="149"/>
      <c r="D94" s="136"/>
      <c r="E94" s="136">
        <f>(C94+D94)*(1/((1+'SDGE Calculations'!$J$8)^$B94))</f>
        <v>0</v>
      </c>
      <c r="F94" s="150"/>
      <c r="G94" s="149"/>
      <c r="H94" s="136"/>
      <c r="I94" s="136">
        <f>(G94+H94)*(1/((1+'SDGE Calculations'!$J$8)^$B94))</f>
        <v>0</v>
      </c>
      <c r="J94" s="150"/>
      <c r="K94" s="149"/>
      <c r="L94" s="136"/>
      <c r="M94" s="136">
        <f>(K94+L94)*(1/((1+'SDGE Calculations'!$J$8)^$B94))</f>
        <v>0</v>
      </c>
      <c r="N94" s="150"/>
      <c r="O94" s="149"/>
      <c r="P94" s="136"/>
      <c r="Q94" s="150">
        <f>(O94+P94)*(1/((1+'SDGE Calculations'!$J$8)^$B94))</f>
        <v>0</v>
      </c>
    </row>
    <row r="95" spans="1:17" ht="15.6" x14ac:dyDescent="0.3">
      <c r="A95" s="148">
        <v>92</v>
      </c>
      <c r="B95" s="63"/>
      <c r="C95" s="149"/>
      <c r="D95" s="136"/>
      <c r="E95" s="136">
        <f>(C95+D95)*(1/((1+'SDGE Calculations'!$J$8)^$B95))</f>
        <v>0</v>
      </c>
      <c r="F95" s="150"/>
      <c r="G95" s="149"/>
      <c r="H95" s="136"/>
      <c r="I95" s="136">
        <f>(G95+H95)*(1/((1+'SDGE Calculations'!$J$8)^$B95))</f>
        <v>0</v>
      </c>
      <c r="J95" s="150"/>
      <c r="K95" s="149"/>
      <c r="L95" s="136"/>
      <c r="M95" s="136">
        <f>(K95+L95)*(1/((1+'SDGE Calculations'!$J$8)^$B95))</f>
        <v>0</v>
      </c>
      <c r="N95" s="150"/>
      <c r="O95" s="149"/>
      <c r="P95" s="136"/>
      <c r="Q95" s="150">
        <f>(O95+P95)*(1/((1+'SDGE Calculations'!$J$8)^$B95))</f>
        <v>0</v>
      </c>
    </row>
    <row r="96" spans="1:17" ht="15.6" x14ac:dyDescent="0.3">
      <c r="A96" s="148">
        <v>93</v>
      </c>
      <c r="B96" s="63"/>
      <c r="C96" s="149"/>
      <c r="D96" s="136"/>
      <c r="E96" s="136">
        <f>(C96+D96)*(1/((1+'SDGE Calculations'!$J$8)^$B96))</f>
        <v>0</v>
      </c>
      <c r="F96" s="150"/>
      <c r="G96" s="149"/>
      <c r="H96" s="136"/>
      <c r="I96" s="136">
        <f>(G96+H96)*(1/((1+'SDGE Calculations'!$J$8)^$B96))</f>
        <v>0</v>
      </c>
      <c r="J96" s="150"/>
      <c r="K96" s="149"/>
      <c r="L96" s="136"/>
      <c r="M96" s="136">
        <f>(K96+L96)*(1/((1+'SDGE Calculations'!$J$8)^$B96))</f>
        <v>0</v>
      </c>
      <c r="N96" s="150"/>
      <c r="O96" s="149"/>
      <c r="P96" s="136"/>
      <c r="Q96" s="150">
        <f>(O96+P96)*(1/((1+'SDGE Calculations'!$J$8)^$B96))</f>
        <v>0</v>
      </c>
    </row>
    <row r="97" spans="1:17" ht="15.6" x14ac:dyDescent="0.3">
      <c r="A97" s="148">
        <v>94</v>
      </c>
      <c r="B97" s="63"/>
      <c r="C97" s="149"/>
      <c r="D97" s="136"/>
      <c r="E97" s="136">
        <f>(C97+D97)*(1/((1+'SDGE Calculations'!$J$8)^$B97))</f>
        <v>0</v>
      </c>
      <c r="F97" s="150"/>
      <c r="G97" s="149"/>
      <c r="H97" s="136"/>
      <c r="I97" s="136">
        <f>(G97+H97)*(1/((1+'SDGE Calculations'!$J$8)^$B97))</f>
        <v>0</v>
      </c>
      <c r="J97" s="150"/>
      <c r="K97" s="149"/>
      <c r="L97" s="136"/>
      <c r="M97" s="136">
        <f>(K97+L97)*(1/((1+'SDGE Calculations'!$J$8)^$B97))</f>
        <v>0</v>
      </c>
      <c r="N97" s="150"/>
      <c r="O97" s="149"/>
      <c r="P97" s="136"/>
      <c r="Q97" s="150">
        <f>(O97+P97)*(1/((1+'SDGE Calculations'!$J$8)^$B97))</f>
        <v>0</v>
      </c>
    </row>
    <row r="98" spans="1:17" ht="15.6" x14ac:dyDescent="0.3">
      <c r="A98" s="148">
        <v>95</v>
      </c>
      <c r="B98" s="63"/>
      <c r="C98" s="149"/>
      <c r="D98" s="136"/>
      <c r="E98" s="136">
        <f>(C98+D98)*(1/((1+'SDGE Calculations'!$J$8)^$B98))</f>
        <v>0</v>
      </c>
      <c r="F98" s="150"/>
      <c r="G98" s="149"/>
      <c r="H98" s="136"/>
      <c r="I98" s="136">
        <f>(G98+H98)*(1/((1+'SDGE Calculations'!$J$8)^$B98))</f>
        <v>0</v>
      </c>
      <c r="J98" s="150"/>
      <c r="K98" s="149"/>
      <c r="L98" s="136"/>
      <c r="M98" s="136">
        <f>(K98+L98)*(1/((1+'SDGE Calculations'!$J$8)^$B98))</f>
        <v>0</v>
      </c>
      <c r="N98" s="150"/>
      <c r="O98" s="149"/>
      <c r="P98" s="136"/>
      <c r="Q98" s="150">
        <f>(O98+P98)*(1/((1+'SDGE Calculations'!$J$8)^$B98))</f>
        <v>0</v>
      </c>
    </row>
    <row r="99" spans="1:17" ht="15.6" x14ac:dyDescent="0.3">
      <c r="A99" s="148">
        <v>96</v>
      </c>
      <c r="B99" s="63"/>
      <c r="C99" s="149"/>
      <c r="D99" s="136"/>
      <c r="E99" s="136">
        <f>(C99+D99)*(1/((1+'SDGE Calculations'!$J$8)^$B99))</f>
        <v>0</v>
      </c>
      <c r="F99" s="150"/>
      <c r="G99" s="149"/>
      <c r="H99" s="136"/>
      <c r="I99" s="136">
        <f>(G99+H99)*(1/((1+'SDGE Calculations'!$J$8)^$B99))</f>
        <v>0</v>
      </c>
      <c r="J99" s="150"/>
      <c r="K99" s="149"/>
      <c r="L99" s="136"/>
      <c r="M99" s="136">
        <f>(K99+L99)*(1/((1+'SDGE Calculations'!$J$8)^$B99))</f>
        <v>0</v>
      </c>
      <c r="N99" s="150"/>
      <c r="O99" s="149"/>
      <c r="P99" s="136"/>
      <c r="Q99" s="150">
        <f>(O99+P99)*(1/((1+'SDGE Calculations'!$J$8)^$B99))</f>
        <v>0</v>
      </c>
    </row>
    <row r="100" spans="1:17" ht="15.6" x14ac:dyDescent="0.3">
      <c r="A100" s="148">
        <v>97</v>
      </c>
      <c r="B100" s="63"/>
      <c r="C100" s="149"/>
      <c r="D100" s="136"/>
      <c r="E100" s="136">
        <f>(C100+D100)*(1/((1+'SDGE Calculations'!$J$8)^$B100))</f>
        <v>0</v>
      </c>
      <c r="F100" s="150"/>
      <c r="G100" s="149"/>
      <c r="H100" s="136"/>
      <c r="I100" s="136">
        <f>(G100+H100)*(1/((1+'SDGE Calculations'!$J$8)^$B100))</f>
        <v>0</v>
      </c>
      <c r="J100" s="150"/>
      <c r="K100" s="149"/>
      <c r="L100" s="136"/>
      <c r="M100" s="136">
        <f>(K100+L100)*(1/((1+'SDGE Calculations'!$J$8)^$B100))</f>
        <v>0</v>
      </c>
      <c r="N100" s="150"/>
      <c r="O100" s="149"/>
      <c r="P100" s="136"/>
      <c r="Q100" s="150">
        <f>(O100+P100)*(1/((1+'SDGE Calculations'!$J$8)^$B100))</f>
        <v>0</v>
      </c>
    </row>
    <row r="101" spans="1:17" ht="15.6" x14ac:dyDescent="0.3">
      <c r="A101" s="148">
        <v>98</v>
      </c>
      <c r="B101" s="63"/>
      <c r="C101" s="149"/>
      <c r="D101" s="136"/>
      <c r="E101" s="136">
        <f>(C101+D101)*(1/((1+'SDGE Calculations'!$J$8)^$B101))</f>
        <v>0</v>
      </c>
      <c r="F101" s="150"/>
      <c r="G101" s="149"/>
      <c r="H101" s="136"/>
      <c r="I101" s="136">
        <f>(G101+H101)*(1/((1+'SDGE Calculations'!$J$8)^$B101))</f>
        <v>0</v>
      </c>
      <c r="J101" s="150"/>
      <c r="K101" s="149"/>
      <c r="L101" s="136"/>
      <c r="M101" s="136">
        <f>(K101+L101)*(1/((1+'SDGE Calculations'!$J$8)^$B101))</f>
        <v>0</v>
      </c>
      <c r="N101" s="150"/>
      <c r="O101" s="149"/>
      <c r="P101" s="136"/>
      <c r="Q101" s="150">
        <f>(O101+P101)*(1/((1+'SDGE Calculations'!$J$8)^$B101))</f>
        <v>0</v>
      </c>
    </row>
    <row r="102" spans="1:17" ht="15.6" x14ac:dyDescent="0.3">
      <c r="A102" s="148">
        <v>99</v>
      </c>
      <c r="B102" s="63"/>
      <c r="C102" s="149"/>
      <c r="D102" s="136"/>
      <c r="E102" s="136">
        <f>(C102+D102)*(1/((1+'SDGE Calculations'!$J$8)^$B102))</f>
        <v>0</v>
      </c>
      <c r="F102" s="150"/>
      <c r="G102" s="149"/>
      <c r="H102" s="136"/>
      <c r="I102" s="136">
        <f>(G102+H102)*(1/((1+'SDGE Calculations'!$J$8)^$B102))</f>
        <v>0</v>
      </c>
      <c r="J102" s="150"/>
      <c r="K102" s="149"/>
      <c r="L102" s="136"/>
      <c r="M102" s="136">
        <f>(K102+L102)*(1/((1+'SDGE Calculations'!$J$8)^$B102))</f>
        <v>0</v>
      </c>
      <c r="N102" s="150"/>
      <c r="O102" s="149"/>
      <c r="P102" s="136"/>
      <c r="Q102" s="150">
        <f>(O102+P102)*(1/((1+'SDGE Calculations'!$J$8)^$B102))</f>
        <v>0</v>
      </c>
    </row>
    <row r="103" spans="1:17" ht="16.2" thickBot="1" x14ac:dyDescent="0.35">
      <c r="A103" s="153">
        <v>100</v>
      </c>
      <c r="B103" s="7"/>
      <c r="C103" s="151"/>
      <c r="D103" s="152"/>
      <c r="E103" s="152">
        <f>(C103+D103)*(1/((1+'SDGE Calculations'!$J$8)^$B103))</f>
        <v>0</v>
      </c>
      <c r="F103" s="85"/>
      <c r="G103" s="151"/>
      <c r="H103" s="152"/>
      <c r="I103" s="152">
        <f>(G103+H103)*(1/((1+'SDGE Calculations'!$J$8)^$B103))</f>
        <v>0</v>
      </c>
      <c r="J103" s="85"/>
      <c r="K103" s="151"/>
      <c r="L103" s="152"/>
      <c r="M103" s="152">
        <f>(K103+L103)*(1/((1+'SDGE Calculations'!$J$8)^$B103))</f>
        <v>0</v>
      </c>
      <c r="N103" s="85"/>
      <c r="O103" s="151"/>
      <c r="P103" s="152"/>
      <c r="Q103" s="85">
        <f>(O103+P103)*(1/((1+'SDGE Calculations'!$J$8)^$B103))</f>
        <v>0</v>
      </c>
    </row>
  </sheetData>
  <mergeCells count="4">
    <mergeCell ref="C1:F1"/>
    <mergeCell ref="G1:J1"/>
    <mergeCell ref="K1:N1"/>
    <mergeCell ref="O1:Q1"/>
  </mergeCells>
  <pageMargins left="0.75" right="0.75" top="1" bottom="1" header="0.5" footer="0.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1E21DC-7BA5-477E-9417-C89AAC362CFD}">
  <sheetPr>
    <pageSetUpPr fitToPage="1"/>
  </sheetPr>
  <dimension ref="A1:BA50"/>
  <sheetViews>
    <sheetView zoomScale="90" zoomScaleNormal="90" workbookViewId="0">
      <selection activeCell="A4" sqref="A4"/>
    </sheetView>
  </sheetViews>
  <sheetFormatPr defaultColWidth="8.6640625" defaultRowHeight="15.6" x14ac:dyDescent="0.3"/>
  <cols>
    <col min="1" max="1" width="15.44140625" style="55" customWidth="1"/>
    <col min="2" max="2" width="11.109375" style="55" customWidth="1"/>
    <col min="3" max="3" width="16.6640625" style="55" customWidth="1"/>
    <col min="4" max="4" width="27.5546875" style="55" customWidth="1"/>
    <col min="5" max="5" width="45.33203125" style="55" customWidth="1"/>
    <col min="6" max="7" width="16.6640625" style="55" bestFit="1" customWidth="1"/>
    <col min="8" max="10" width="23.109375" style="55" customWidth="1"/>
    <col min="11" max="11" width="17" style="55" customWidth="1"/>
    <col min="12" max="16384" width="8.6640625" style="55"/>
  </cols>
  <sheetData>
    <row r="1" spans="1:11" x14ac:dyDescent="0.3">
      <c r="A1" s="1" t="s">
        <v>1294</v>
      </c>
    </row>
    <row r="2" spans="1:11" x14ac:dyDescent="0.3">
      <c r="A2" s="1" t="s">
        <v>1295</v>
      </c>
    </row>
    <row r="3" spans="1:11" ht="16.2" thickBot="1" x14ac:dyDescent="0.35">
      <c r="A3" s="1" t="s">
        <v>79</v>
      </c>
    </row>
    <row r="4" spans="1:11" ht="69.599999999999994" customHeight="1" thickBot="1" x14ac:dyDescent="0.35">
      <c r="A4" s="1"/>
      <c r="F4" s="292" t="s">
        <v>80</v>
      </c>
      <c r="G4" s="292"/>
      <c r="H4" s="292" t="s">
        <v>81</v>
      </c>
      <c r="I4" s="292"/>
      <c r="J4" s="292"/>
    </row>
    <row r="5" spans="1:11" ht="102" customHeight="1" thickBot="1" x14ac:dyDescent="0.35">
      <c r="B5" s="228" t="s">
        <v>1296</v>
      </c>
      <c r="C5" s="228" t="s">
        <v>83</v>
      </c>
      <c r="D5" s="228" t="s">
        <v>84</v>
      </c>
      <c r="E5" s="228" t="s">
        <v>53</v>
      </c>
      <c r="F5" s="228" t="s">
        <v>1292</v>
      </c>
      <c r="G5" s="228" t="s">
        <v>1297</v>
      </c>
      <c r="H5" s="228" t="s">
        <v>1298</v>
      </c>
      <c r="I5" s="228" t="s">
        <v>1299</v>
      </c>
      <c r="J5" s="228" t="s">
        <v>1300</v>
      </c>
      <c r="K5" s="228" t="s">
        <v>1301</v>
      </c>
    </row>
    <row r="6" spans="1:11" ht="49.2" thickBot="1" x14ac:dyDescent="0.35">
      <c r="A6" s="291" t="s">
        <v>105</v>
      </c>
      <c r="B6" s="229" t="s">
        <v>106</v>
      </c>
      <c r="C6" s="229" t="s">
        <v>107</v>
      </c>
      <c r="D6" s="229" t="s">
        <v>108</v>
      </c>
      <c r="E6" s="229" t="s">
        <v>1302</v>
      </c>
      <c r="F6" s="230">
        <f t="shared" ref="F6:K6" si="0">F19/F17</f>
        <v>14415.143333333333</v>
      </c>
      <c r="G6" s="230">
        <f t="shared" si="0"/>
        <v>18015.735000000001</v>
      </c>
      <c r="H6" s="230">
        <f t="shared" si="0"/>
        <v>27577.814285714285</v>
      </c>
      <c r="I6" s="230">
        <f t="shared" si="0"/>
        <v>31906.72094736842</v>
      </c>
      <c r="J6" s="230">
        <f t="shared" si="0"/>
        <v>33376.365862068968</v>
      </c>
      <c r="K6" s="231">
        <f t="shared" si="0"/>
        <v>29127.805689655168</v>
      </c>
    </row>
    <row r="7" spans="1:11" ht="65.400000000000006" thickBot="1" x14ac:dyDescent="0.35">
      <c r="A7" s="291"/>
      <c r="B7" s="229" t="s">
        <v>111</v>
      </c>
      <c r="C7" s="229" t="s">
        <v>112</v>
      </c>
      <c r="D7" s="229" t="s">
        <v>113</v>
      </c>
      <c r="E7" s="229" t="s">
        <v>114</v>
      </c>
      <c r="F7" s="232">
        <f t="shared" ref="F7:K7" si="1">F29/F26</f>
        <v>21834.368454916217</v>
      </c>
      <c r="G7" s="232">
        <f t="shared" si="1"/>
        <v>28072.172721153886</v>
      </c>
      <c r="H7" s="232">
        <f t="shared" si="1"/>
        <v>21988.205572298815</v>
      </c>
      <c r="I7" s="232">
        <f t="shared" si="1"/>
        <v>27620.216177963568</v>
      </c>
      <c r="J7" s="232">
        <f t="shared" si="1"/>
        <v>24245.102880988514</v>
      </c>
      <c r="K7" s="230">
        <f t="shared" si="1"/>
        <v>24694.335449635619</v>
      </c>
    </row>
    <row r="8" spans="1:11" ht="16.2" thickBot="1" x14ac:dyDescent="0.35">
      <c r="A8" s="1"/>
    </row>
    <row r="9" spans="1:11" ht="47.4" thickBot="1" x14ac:dyDescent="0.35">
      <c r="A9" s="293" t="s">
        <v>116</v>
      </c>
      <c r="B9" s="59" t="s">
        <v>117</v>
      </c>
      <c r="C9" s="59" t="s">
        <v>107</v>
      </c>
      <c r="D9" s="59" t="s">
        <v>118</v>
      </c>
      <c r="E9" s="59" t="s">
        <v>1303</v>
      </c>
      <c r="F9" s="248">
        <f t="shared" ref="F9:K9" si="2">F19/F18</f>
        <v>328280.08603238867</v>
      </c>
      <c r="G9" s="248">
        <f t="shared" si="2"/>
        <v>688306.52555971581</v>
      </c>
      <c r="H9" s="248">
        <f t="shared" si="2"/>
        <v>537971.15552427876</v>
      </c>
      <c r="I9" s="248">
        <f t="shared" si="2"/>
        <v>675869.26730288973</v>
      </c>
      <c r="J9" s="248">
        <f t="shared" si="2"/>
        <v>644625.27003027243</v>
      </c>
      <c r="K9" s="249">
        <f t="shared" si="2"/>
        <v>634997.38740871695</v>
      </c>
    </row>
    <row r="10" spans="1:11" ht="187.8" thickBot="1" x14ac:dyDescent="0.35">
      <c r="A10" s="293"/>
      <c r="B10" s="215"/>
      <c r="C10" s="90" t="s">
        <v>112</v>
      </c>
      <c r="D10" s="90" t="s">
        <v>121</v>
      </c>
      <c r="E10" s="201" t="s">
        <v>122</v>
      </c>
      <c r="F10" s="33">
        <f>(F29-(F9*F28))/F27</f>
        <v>1965193.4401087281</v>
      </c>
      <c r="G10" s="33">
        <f>(G29-(G9*G28))/G27</f>
        <v>2165423.8634828101</v>
      </c>
      <c r="H10" s="33" t="s">
        <v>123</v>
      </c>
      <c r="I10" s="33" t="s">
        <v>123</v>
      </c>
      <c r="J10" s="33" t="s">
        <v>123</v>
      </c>
      <c r="K10" s="33">
        <f>(K29-(K9*K28))/K27</f>
        <v>2212294.3927101782</v>
      </c>
    </row>
    <row r="11" spans="1:11" ht="78.599999999999994" thickBot="1" x14ac:dyDescent="0.35">
      <c r="A11" s="293"/>
      <c r="B11" s="215" t="s">
        <v>124</v>
      </c>
      <c r="C11" s="90" t="s">
        <v>112</v>
      </c>
      <c r="D11" s="90" t="s">
        <v>125</v>
      </c>
      <c r="E11" s="201" t="s">
        <v>126</v>
      </c>
      <c r="F11" s="132"/>
      <c r="G11" s="128"/>
      <c r="H11" s="250">
        <f>H23</f>
        <v>2435066.5097287321</v>
      </c>
      <c r="I11" s="250">
        <f>I23</f>
        <v>3599365.8889450943</v>
      </c>
      <c r="J11" s="250">
        <f>J23</f>
        <v>2969878.6369792088</v>
      </c>
      <c r="K11" s="250">
        <f>K23</f>
        <v>2841311.0162017294</v>
      </c>
    </row>
    <row r="12" spans="1:11" s="10" customFormat="1" ht="63" thickBot="1" x14ac:dyDescent="0.35">
      <c r="A12" s="293"/>
      <c r="B12" s="90" t="s">
        <v>127</v>
      </c>
      <c r="C12" s="90" t="s">
        <v>128</v>
      </c>
      <c r="D12" s="93" t="s">
        <v>129</v>
      </c>
      <c r="E12" s="15" t="s">
        <v>130</v>
      </c>
      <c r="F12" s="294" t="s">
        <v>1304</v>
      </c>
      <c r="G12" s="294"/>
      <c r="H12" s="294"/>
      <c r="I12" s="294"/>
      <c r="J12" s="294"/>
      <c r="K12" s="294"/>
    </row>
    <row r="13" spans="1:11" ht="63" thickBot="1" x14ac:dyDescent="0.35">
      <c r="A13" s="293"/>
      <c r="B13" s="215" t="s">
        <v>132</v>
      </c>
      <c r="C13" s="90" t="s">
        <v>133</v>
      </c>
      <c r="D13" s="93" t="s">
        <v>134</v>
      </c>
      <c r="E13" s="215" t="s">
        <v>135</v>
      </c>
      <c r="F13" s="132"/>
      <c r="G13" s="127"/>
      <c r="H13" s="127"/>
      <c r="I13" s="127"/>
      <c r="J13" s="128"/>
      <c r="K13" s="190">
        <v>16.150237027893599</v>
      </c>
    </row>
    <row r="14" spans="1:11" ht="101.25" customHeight="1" thickBot="1" x14ac:dyDescent="0.35">
      <c r="A14" s="293"/>
      <c r="B14" s="59" t="s">
        <v>137</v>
      </c>
      <c r="C14" s="59" t="s">
        <v>112</v>
      </c>
      <c r="D14" s="59" t="s">
        <v>138</v>
      </c>
      <c r="E14" s="59" t="s">
        <v>139</v>
      </c>
      <c r="F14" s="60">
        <v>34.817999999999998</v>
      </c>
      <c r="G14" s="60">
        <v>50.554000000000002</v>
      </c>
      <c r="H14" s="60">
        <v>112.099</v>
      </c>
      <c r="I14" s="60">
        <v>60.091000000000001</v>
      </c>
      <c r="J14" s="60">
        <v>91.932000000000002</v>
      </c>
      <c r="K14" s="60">
        <f>AVERAGE(F14:J14)</f>
        <v>69.898800000000008</v>
      </c>
    </row>
    <row r="15" spans="1:11" s="10" customFormat="1" ht="78.599999999999994" thickBot="1" x14ac:dyDescent="0.35">
      <c r="A15" s="293"/>
      <c r="B15" s="90" t="s">
        <v>141</v>
      </c>
      <c r="C15" s="90" t="s">
        <v>128</v>
      </c>
      <c r="D15" s="90" t="s">
        <v>142</v>
      </c>
      <c r="E15" s="15" t="s">
        <v>143</v>
      </c>
      <c r="F15" s="294" t="s">
        <v>1305</v>
      </c>
      <c r="G15" s="294"/>
      <c r="H15" s="294"/>
      <c r="I15" s="294"/>
      <c r="J15" s="294"/>
      <c r="K15" s="294"/>
    </row>
    <row r="16" spans="1:11" ht="16.2" thickBot="1" x14ac:dyDescent="0.35">
      <c r="A16" s="1"/>
    </row>
    <row r="17" spans="1:53" ht="47.4" thickBot="1" x14ac:dyDescent="0.35">
      <c r="A17" s="293" t="s">
        <v>145</v>
      </c>
      <c r="B17" s="59" t="s">
        <v>146</v>
      </c>
      <c r="C17" s="59" t="s">
        <v>107</v>
      </c>
      <c r="D17" s="59" t="s">
        <v>147</v>
      </c>
      <c r="E17" s="59" t="s">
        <v>1306</v>
      </c>
      <c r="F17" s="251">
        <v>2.25</v>
      </c>
      <c r="G17" s="251">
        <v>5</v>
      </c>
      <c r="H17" s="251">
        <v>5.25</v>
      </c>
      <c r="I17" s="251">
        <v>23.75</v>
      </c>
      <c r="J17" s="251">
        <v>7.25</v>
      </c>
      <c r="K17" s="251">
        <f>SUM(F17:J17)</f>
        <v>43.5</v>
      </c>
    </row>
    <row r="18" spans="1:53" ht="47.4" thickBot="1" x14ac:dyDescent="0.35">
      <c r="A18" s="293"/>
      <c r="B18" s="59" t="s">
        <v>150</v>
      </c>
      <c r="C18" s="59" t="s">
        <v>107</v>
      </c>
      <c r="D18" s="59" t="s">
        <v>151</v>
      </c>
      <c r="E18" s="59" t="s">
        <v>152</v>
      </c>
      <c r="F18" s="251">
        <v>9.8799999999999999E-2</v>
      </c>
      <c r="G18" s="251">
        <v>0.13086999999999999</v>
      </c>
      <c r="H18" s="251">
        <v>0.26912878787878786</v>
      </c>
      <c r="I18" s="251">
        <v>1.1212</v>
      </c>
      <c r="J18" s="251">
        <v>0.37537878787878787</v>
      </c>
      <c r="K18" s="251">
        <f>SUM(F18:J18)</f>
        <v>1.9953775757575758</v>
      </c>
    </row>
    <row r="19" spans="1:53" ht="109.8" thickBot="1" x14ac:dyDescent="0.35">
      <c r="A19" s="293"/>
      <c r="B19" s="59" t="s">
        <v>154</v>
      </c>
      <c r="C19" s="59" t="s">
        <v>107</v>
      </c>
      <c r="D19" s="59" t="s">
        <v>155</v>
      </c>
      <c r="E19" s="59" t="s">
        <v>156</v>
      </c>
      <c r="F19" s="252">
        <f>(129.73629*1000)/4</f>
        <v>32434.072499999998</v>
      </c>
      <c r="G19" s="252">
        <f>(360.3147*1000)/4</f>
        <v>90078.675000000003</v>
      </c>
      <c r="H19" s="252">
        <f>(579.1341*1000)/4</f>
        <v>144783.52499999999</v>
      </c>
      <c r="I19" s="252">
        <f>(3031.13849*1000)/4</f>
        <v>757784.62249999994</v>
      </c>
      <c r="J19" s="252">
        <f>(967.91461*1000)/4</f>
        <v>241978.6525</v>
      </c>
      <c r="K19" s="253">
        <f>SUM(F19:J19)</f>
        <v>1267059.5474999999</v>
      </c>
    </row>
    <row r="20" spans="1:53" ht="63" thickBot="1" x14ac:dyDescent="0.35">
      <c r="A20" s="293"/>
      <c r="B20" s="59" t="s">
        <v>158</v>
      </c>
      <c r="C20" s="59" t="s">
        <v>107</v>
      </c>
      <c r="D20" s="229" t="s">
        <v>159</v>
      </c>
      <c r="E20" s="59" t="s">
        <v>160</v>
      </c>
      <c r="F20" s="254">
        <v>604.88800000000003</v>
      </c>
      <c r="G20" s="254">
        <v>549.83330000000001</v>
      </c>
      <c r="H20" s="254">
        <v>580.08330000000001</v>
      </c>
      <c r="I20" s="254">
        <v>258.52300000000002</v>
      </c>
      <c r="J20" s="254">
        <v>505.20800000000003</v>
      </c>
      <c r="K20" s="254">
        <f>AVERAGE(F20:J20)</f>
        <v>499.70712000000003</v>
      </c>
    </row>
    <row r="21" spans="1:53" ht="63" thickBot="1" x14ac:dyDescent="0.35">
      <c r="A21" s="293"/>
      <c r="B21" s="59" t="s">
        <v>162</v>
      </c>
      <c r="C21" s="59" t="s">
        <v>107</v>
      </c>
      <c r="D21" s="59" t="s">
        <v>163</v>
      </c>
      <c r="E21" s="59" t="s">
        <v>164</v>
      </c>
      <c r="F21" s="254">
        <v>884.22220000000004</v>
      </c>
      <c r="G21" s="254">
        <v>874.1</v>
      </c>
      <c r="H21" s="254">
        <v>779.25</v>
      </c>
      <c r="I21" s="254">
        <v>1047.6980000000001</v>
      </c>
      <c r="J21" s="254">
        <v>888.45830000000001</v>
      </c>
      <c r="K21" s="254">
        <f>AVERAGE(F21:J21)</f>
        <v>894.74570000000006</v>
      </c>
    </row>
    <row r="22" spans="1:53" s="23" customFormat="1" ht="16.2" thickBot="1" x14ac:dyDescent="0.35">
      <c r="B22" s="255"/>
      <c r="C22" s="256"/>
      <c r="D22" s="256"/>
      <c r="E22" s="255"/>
      <c r="F22" s="256"/>
      <c r="G22" s="256"/>
      <c r="H22" s="256"/>
      <c r="I22" s="256"/>
      <c r="J22" s="256"/>
      <c r="K22" s="256"/>
      <c r="L22" s="256"/>
      <c r="M22" s="256"/>
      <c r="N22" s="256"/>
      <c r="O22" s="256"/>
      <c r="P22" s="256"/>
      <c r="Q22" s="256"/>
      <c r="R22" s="256"/>
      <c r="S22" s="256"/>
      <c r="T22" s="256"/>
      <c r="U22" s="256"/>
      <c r="V22" s="256"/>
      <c r="W22" s="256"/>
      <c r="X22" s="256"/>
      <c r="Y22" s="256"/>
      <c r="Z22" s="256"/>
      <c r="AA22" s="256"/>
      <c r="AB22" s="256"/>
      <c r="AC22" s="256"/>
      <c r="AD22" s="256"/>
      <c r="AE22" s="256"/>
      <c r="AF22" s="256"/>
      <c r="AG22" s="256"/>
      <c r="AH22" s="256"/>
      <c r="AI22" s="256"/>
      <c r="AJ22" s="256"/>
      <c r="AK22" s="256"/>
      <c r="AL22" s="256"/>
      <c r="AM22" s="256"/>
      <c r="AN22" s="256"/>
      <c r="AO22" s="256"/>
      <c r="AP22" s="256"/>
      <c r="AQ22" s="256"/>
      <c r="AR22" s="256"/>
      <c r="AS22" s="256"/>
      <c r="AT22" s="256"/>
      <c r="AU22" s="256"/>
      <c r="AV22" s="256"/>
      <c r="AW22" s="256"/>
      <c r="AX22" s="256"/>
      <c r="AY22" s="256"/>
      <c r="AZ22" s="256"/>
      <c r="BA22" s="256"/>
    </row>
    <row r="23" spans="1:53" ht="63" thickBot="1" x14ac:dyDescent="0.35">
      <c r="A23" s="293" t="s">
        <v>166</v>
      </c>
      <c r="B23" s="59" t="s">
        <v>124</v>
      </c>
      <c r="C23" s="59" t="s">
        <v>112</v>
      </c>
      <c r="D23" s="59" t="s">
        <v>167</v>
      </c>
      <c r="E23" s="59" t="s">
        <v>168</v>
      </c>
      <c r="F23" s="248">
        <f t="shared" ref="F23:K23" si="3">F29/F27</f>
        <v>2292286.7082104506</v>
      </c>
      <c r="G23" s="248">
        <f t="shared" si="3"/>
        <v>2777572.032156792</v>
      </c>
      <c r="H23" s="248">
        <f t="shared" si="3"/>
        <v>2435066.5097287321</v>
      </c>
      <c r="I23" s="248">
        <f t="shared" si="3"/>
        <v>3599365.8889450943</v>
      </c>
      <c r="J23" s="248">
        <f t="shared" si="3"/>
        <v>2969878.6369792088</v>
      </c>
      <c r="K23" s="248">
        <f t="shared" si="3"/>
        <v>2841311.0162017294</v>
      </c>
    </row>
    <row r="24" spans="1:53" ht="63" thickBot="1" x14ac:dyDescent="0.35">
      <c r="A24" s="293"/>
      <c r="B24" s="59" t="s">
        <v>170</v>
      </c>
      <c r="C24" s="59" t="s">
        <v>112</v>
      </c>
      <c r="D24" s="59" t="s">
        <v>171</v>
      </c>
      <c r="E24" s="59" t="s">
        <v>1307</v>
      </c>
      <c r="F24" s="257">
        <f t="shared" ref="F24:K24" si="4">F26/F25</f>
        <v>3.2599704579025111</v>
      </c>
      <c r="G24" s="257">
        <f t="shared" si="4"/>
        <v>3.6619718309859155</v>
      </c>
      <c r="H24" s="257">
        <f t="shared" si="4"/>
        <v>8.6160220994475143</v>
      </c>
      <c r="I24" s="257">
        <f t="shared" si="4"/>
        <v>2.6307934014139827</v>
      </c>
      <c r="J24" s="257">
        <f t="shared" si="4"/>
        <v>6.2253711201079618</v>
      </c>
      <c r="K24" s="258">
        <f t="shared" si="4"/>
        <v>4.244131455399061</v>
      </c>
    </row>
    <row r="25" spans="1:53" ht="63" thickBot="1" x14ac:dyDescent="0.35">
      <c r="A25" s="293"/>
      <c r="B25" s="59" t="s">
        <v>174</v>
      </c>
      <c r="C25" s="59" t="s">
        <v>112</v>
      </c>
      <c r="D25" s="59" t="s">
        <v>175</v>
      </c>
      <c r="E25" s="59" t="s">
        <v>176</v>
      </c>
      <c r="F25" s="60">
        <v>169.25</v>
      </c>
      <c r="G25" s="60">
        <v>142</v>
      </c>
      <c r="H25" s="60">
        <v>90.5</v>
      </c>
      <c r="I25" s="60">
        <v>318.25</v>
      </c>
      <c r="J25" s="60">
        <v>185.25</v>
      </c>
      <c r="K25" s="60">
        <f>SUM(F25:J25)</f>
        <v>905.25</v>
      </c>
    </row>
    <row r="26" spans="1:53" ht="63" thickBot="1" x14ac:dyDescent="0.35">
      <c r="A26" s="293"/>
      <c r="B26" s="59" t="s">
        <v>178</v>
      </c>
      <c r="C26" s="59" t="s">
        <v>112</v>
      </c>
      <c r="D26" s="59" t="s">
        <v>179</v>
      </c>
      <c r="E26" s="59" t="s">
        <v>180</v>
      </c>
      <c r="F26" s="254">
        <f>2207/4</f>
        <v>551.75</v>
      </c>
      <c r="G26" s="254">
        <f>2080/4</f>
        <v>520</v>
      </c>
      <c r="H26" s="254">
        <f>3119/4</f>
        <v>779.75</v>
      </c>
      <c r="I26" s="254">
        <f>3349/4</f>
        <v>837.25</v>
      </c>
      <c r="J26" s="254">
        <f>4613/4</f>
        <v>1153.25</v>
      </c>
      <c r="K26" s="254">
        <f>SUM(F26:J26)</f>
        <v>3842</v>
      </c>
    </row>
    <row r="27" spans="1:53" ht="63" thickBot="1" x14ac:dyDescent="0.35">
      <c r="A27" s="293"/>
      <c r="B27" s="59" t="s">
        <v>182</v>
      </c>
      <c r="C27" s="59" t="s">
        <v>112</v>
      </c>
      <c r="D27" s="59" t="s">
        <v>183</v>
      </c>
      <c r="E27" s="59" t="s">
        <v>184</v>
      </c>
      <c r="F27" s="251">
        <f>21.022/4</f>
        <v>5.2554999999999996</v>
      </c>
      <c r="G27" s="251">
        <f>21.022/4</f>
        <v>5.2554999999999996</v>
      </c>
      <c r="H27" s="251">
        <f>28.164/4</f>
        <v>7.0410000000000004</v>
      </c>
      <c r="I27" s="251">
        <f>25.699/4</f>
        <v>6.4247500000000004</v>
      </c>
      <c r="J27" s="251">
        <f>37.659/4</f>
        <v>9.4147499999999997</v>
      </c>
      <c r="K27" s="251">
        <f>SUM(F27:J27)</f>
        <v>33.391500000000001</v>
      </c>
    </row>
    <row r="28" spans="1:53" ht="63" thickBot="1" x14ac:dyDescent="0.35">
      <c r="A28" s="293"/>
      <c r="B28" s="59" t="s">
        <v>186</v>
      </c>
      <c r="C28" s="59" t="s">
        <v>112</v>
      </c>
      <c r="D28" s="59" t="s">
        <v>187</v>
      </c>
      <c r="E28" s="59" t="s">
        <v>188</v>
      </c>
      <c r="F28" s="251">
        <f>20.946/4</f>
        <v>5.2365000000000004</v>
      </c>
      <c r="G28" s="251">
        <f>18.696/4</f>
        <v>4.6740000000000004</v>
      </c>
      <c r="H28" s="251">
        <f>28.752/4</f>
        <v>7.1879999999999997</v>
      </c>
      <c r="I28" s="251">
        <f>30.408/4</f>
        <v>7.6020000000000003</v>
      </c>
      <c r="J28" s="251">
        <f>33.506/4</f>
        <v>8.3765000000000001</v>
      </c>
      <c r="K28" s="251">
        <f>SUM(F28:J28)</f>
        <v>33.076999999999998</v>
      </c>
    </row>
    <row r="29" spans="1:53" ht="63" thickBot="1" x14ac:dyDescent="0.35">
      <c r="A29" s="293"/>
      <c r="B29" s="59" t="s">
        <v>190</v>
      </c>
      <c r="C29" s="59" t="s">
        <v>112</v>
      </c>
      <c r="D29" s="59" t="s">
        <v>191</v>
      </c>
      <c r="E29" s="59" t="s">
        <v>1308</v>
      </c>
      <c r="F29" s="248">
        <f>SUM(F31:F34)</f>
        <v>12047112.795000022</v>
      </c>
      <c r="G29" s="248">
        <f>SUM(G31:G34)</f>
        <v>14597529.81500002</v>
      </c>
      <c r="H29" s="248">
        <f>SUM(H31:H34)</f>
        <v>17145303.295000002</v>
      </c>
      <c r="I29" s="248">
        <f>SUM(I31:I34)</f>
        <v>23125025.994999997</v>
      </c>
      <c r="J29" s="248">
        <f>SUM(J31:J34)</f>
        <v>27960664.897500005</v>
      </c>
      <c r="K29" s="249">
        <f>SUM(F29:J29)</f>
        <v>94875636.797500044</v>
      </c>
    </row>
    <row r="30" spans="1:53" ht="63" thickBot="1" x14ac:dyDescent="0.35">
      <c r="A30" s="293"/>
      <c r="B30" s="215" t="s">
        <v>194</v>
      </c>
      <c r="C30" s="90" t="s">
        <v>112</v>
      </c>
      <c r="D30" s="90" t="s">
        <v>195</v>
      </c>
      <c r="E30" s="12"/>
      <c r="F30" s="13"/>
      <c r="G30" s="13"/>
      <c r="H30" s="13"/>
      <c r="I30" s="13"/>
      <c r="J30" s="13"/>
      <c r="K30" s="259"/>
    </row>
    <row r="31" spans="1:53" ht="109.8" thickBot="1" x14ac:dyDescent="0.35">
      <c r="A31" s="293"/>
      <c r="B31" s="59" t="s">
        <v>196</v>
      </c>
      <c r="C31" s="59" t="s">
        <v>112</v>
      </c>
      <c r="D31" s="59" t="s">
        <v>197</v>
      </c>
      <c r="E31" s="59" t="s">
        <v>198</v>
      </c>
      <c r="F31" s="248">
        <f>(4854.78968999999*1000)/4</f>
        <v>1213697.4224999973</v>
      </c>
      <c r="G31" s="248">
        <f>(8165.50454999998*1000)/4</f>
        <v>2041376.1374999948</v>
      </c>
      <c r="H31" s="248">
        <f>(3684.00061*1000)/4</f>
        <v>921000.15249999997</v>
      </c>
      <c r="I31" s="248">
        <f>(16018.71705*1000)/4</f>
        <v>4004679.2624999997</v>
      </c>
      <c r="J31" s="248">
        <f>(7985.18658000001*1000)/4</f>
        <v>1996296.6450000023</v>
      </c>
      <c r="K31" s="249">
        <f>SUM(F31:J31)</f>
        <v>10177049.619999994</v>
      </c>
    </row>
    <row r="32" spans="1:53" ht="63" thickBot="1" x14ac:dyDescent="0.35">
      <c r="A32" s="293"/>
      <c r="B32" s="59" t="s">
        <v>200</v>
      </c>
      <c r="C32" s="59" t="s">
        <v>112</v>
      </c>
      <c r="D32" s="59" t="s">
        <v>201</v>
      </c>
      <c r="E32" s="59" t="s">
        <v>202</v>
      </c>
      <c r="F32" s="248">
        <f>(41024.9499600001*1000)/4</f>
        <v>10256237.490000024</v>
      </c>
      <c r="G32" s="248">
        <f>(46971.9181700001*1000)/4</f>
        <v>11742979.542500025</v>
      </c>
      <c r="H32" s="248">
        <f>(61919.47237*1000)/4</f>
        <v>15479868.092500001</v>
      </c>
      <c r="I32" s="248">
        <f>(69995.08423*1000)/4</f>
        <v>17498771.057499997</v>
      </c>
      <c r="J32" s="248">
        <f>(99818.83301*1000)/4</f>
        <v>24954708.252500001</v>
      </c>
      <c r="K32" s="249">
        <f>SUM(F32:J32)</f>
        <v>79932564.435000047</v>
      </c>
    </row>
    <row r="33" spans="1:11" ht="63" thickBot="1" x14ac:dyDescent="0.35">
      <c r="A33" s="293"/>
      <c r="B33" s="59" t="s">
        <v>204</v>
      </c>
      <c r="C33" s="59" t="s">
        <v>112</v>
      </c>
      <c r="D33" s="59" t="s">
        <v>205</v>
      </c>
      <c r="E33" s="59" t="s">
        <v>206</v>
      </c>
      <c r="F33" s="248">
        <f>(994.405309999999*1000)/4</f>
        <v>248601.32749999975</v>
      </c>
      <c r="G33" s="248">
        <f>(1170.92767*1000)/4</f>
        <v>292731.91749999998</v>
      </c>
      <c r="H33" s="248">
        <f>(1201.42701*1000)/4</f>
        <v>300356.7525</v>
      </c>
      <c r="I33" s="248">
        <f>(2270.61385*1000)/4</f>
        <v>567653.46250000002</v>
      </c>
      <c r="J33" s="248">
        <f>(1906.65862*1000)/4</f>
        <v>476664.65499999997</v>
      </c>
      <c r="K33" s="249">
        <f>SUM(F33:J33)</f>
        <v>1886008.115</v>
      </c>
    </row>
    <row r="34" spans="1:11" ht="78.599999999999994" thickBot="1" x14ac:dyDescent="0.35">
      <c r="A34" s="293"/>
      <c r="B34" s="59" t="s">
        <v>208</v>
      </c>
      <c r="C34" s="59" t="s">
        <v>112</v>
      </c>
      <c r="D34" s="59" t="s">
        <v>209</v>
      </c>
      <c r="E34" s="59" t="s">
        <v>210</v>
      </c>
      <c r="F34" s="248">
        <f>(1314.30622*1000)/4</f>
        <v>328576.55499999999</v>
      </c>
      <c r="G34" s="248">
        <f>(2081.76887*1000)/4</f>
        <v>520442.21749999997</v>
      </c>
      <c r="H34" s="248">
        <f>(1776.31319*1000)/4</f>
        <v>444078.29750000004</v>
      </c>
      <c r="I34" s="248">
        <f>(4215.68885000001*1000)/4</f>
        <v>1053922.2125000025</v>
      </c>
      <c r="J34" s="248">
        <f>(2131.98138*1000)/4</f>
        <v>532995.34500000009</v>
      </c>
      <c r="K34" s="249">
        <f>SUM(F34:J34)</f>
        <v>2880014.6275000027</v>
      </c>
    </row>
    <row r="35" spans="1:11" ht="63" thickBot="1" x14ac:dyDescent="0.35">
      <c r="A35" s="293"/>
      <c r="B35" s="59" t="s">
        <v>212</v>
      </c>
      <c r="C35" s="59" t="s">
        <v>112</v>
      </c>
      <c r="D35" s="229" t="s">
        <v>213</v>
      </c>
      <c r="E35" s="59" t="s">
        <v>214</v>
      </c>
      <c r="F35" s="60">
        <v>23.488</v>
      </c>
      <c r="G35" s="60">
        <v>31.01408</v>
      </c>
      <c r="H35" s="60">
        <v>82.540999999999997</v>
      </c>
      <c r="I35" s="60">
        <v>35.190800000000003</v>
      </c>
      <c r="J35" s="60">
        <v>70.221000000000004</v>
      </c>
      <c r="K35" s="60">
        <f>AVERAGE(F35:J35)</f>
        <v>48.490976000000003</v>
      </c>
    </row>
    <row r="36" spans="1:11" ht="16.2" thickBot="1" x14ac:dyDescent="0.35">
      <c r="B36" s="67"/>
      <c r="C36" s="67"/>
      <c r="D36" s="67"/>
      <c r="E36" s="67"/>
    </row>
    <row r="37" spans="1:11" s="10" customFormat="1" ht="78.599999999999994" thickBot="1" x14ac:dyDescent="0.35">
      <c r="A37" s="293" t="s">
        <v>222</v>
      </c>
      <c r="B37" s="2" t="s">
        <v>41</v>
      </c>
      <c r="C37" s="2" t="s">
        <v>83</v>
      </c>
      <c r="D37" s="2" t="s">
        <v>84</v>
      </c>
      <c r="E37" s="2" t="s">
        <v>53</v>
      </c>
      <c r="F37" s="2" t="s">
        <v>1292</v>
      </c>
      <c r="G37" s="2" t="s">
        <v>1297</v>
      </c>
      <c r="H37" s="2" t="s">
        <v>1309</v>
      </c>
      <c r="I37" s="2" t="s">
        <v>1299</v>
      </c>
      <c r="J37" s="2" t="s">
        <v>1300</v>
      </c>
      <c r="K37" s="2" t="s">
        <v>103</v>
      </c>
    </row>
    <row r="38" spans="1:11" s="10" customFormat="1" ht="63" thickBot="1" x14ac:dyDescent="0.35">
      <c r="A38" s="293"/>
      <c r="B38" s="90" t="s">
        <v>224</v>
      </c>
      <c r="C38" s="90" t="s">
        <v>128</v>
      </c>
      <c r="D38" s="93" t="s">
        <v>225</v>
      </c>
      <c r="E38" s="90" t="s">
        <v>226</v>
      </c>
      <c r="F38" s="294" t="s">
        <v>1304</v>
      </c>
      <c r="G38" s="294"/>
      <c r="H38" s="294"/>
      <c r="I38" s="294"/>
      <c r="J38" s="294"/>
      <c r="K38" s="294"/>
    </row>
    <row r="39" spans="1:11" s="10" customFormat="1" ht="63" thickBot="1" x14ac:dyDescent="0.35">
      <c r="A39" s="293"/>
      <c r="B39" s="90" t="s">
        <v>228</v>
      </c>
      <c r="C39" s="90" t="s">
        <v>128</v>
      </c>
      <c r="D39" s="90" t="s">
        <v>229</v>
      </c>
      <c r="E39" s="90" t="s">
        <v>230</v>
      </c>
      <c r="F39" s="294" t="s">
        <v>1304</v>
      </c>
      <c r="G39" s="294"/>
      <c r="H39" s="294"/>
      <c r="I39" s="294"/>
      <c r="J39" s="294"/>
      <c r="K39" s="294"/>
    </row>
    <row r="40" spans="1:11" s="10" customFormat="1" ht="63" thickBot="1" x14ac:dyDescent="0.35">
      <c r="A40" s="293"/>
      <c r="B40" s="90" t="s">
        <v>232</v>
      </c>
      <c r="C40" s="90" t="s">
        <v>128</v>
      </c>
      <c r="D40" s="90" t="s">
        <v>233</v>
      </c>
      <c r="E40" s="15" t="s">
        <v>234</v>
      </c>
      <c r="F40" s="35">
        <f t="shared" ref="F40" si="5">F43/F42</f>
        <v>764</v>
      </c>
      <c r="G40" s="240" t="s">
        <v>133</v>
      </c>
      <c r="H40" s="35">
        <f>H43/H42</f>
        <v>1783.7863354037268</v>
      </c>
      <c r="I40" s="240" t="s">
        <v>133</v>
      </c>
      <c r="J40" s="35">
        <f>J43/J42</f>
        <v>1717.5496894409939</v>
      </c>
      <c r="K40" s="35">
        <f>AVERAGE(F40:J40)</f>
        <v>1421.7786749482402</v>
      </c>
    </row>
    <row r="41" spans="1:11" s="10" customFormat="1" ht="63" thickBot="1" x14ac:dyDescent="0.35">
      <c r="A41" s="293"/>
      <c r="B41" s="90" t="s">
        <v>236</v>
      </c>
      <c r="C41" s="90" t="s">
        <v>128</v>
      </c>
      <c r="D41" s="90" t="s">
        <v>237</v>
      </c>
      <c r="E41" s="15" t="s">
        <v>238</v>
      </c>
      <c r="F41" s="35">
        <f t="shared" ref="F41" si="6">F44/F42</f>
        <v>1436</v>
      </c>
      <c r="G41" s="240" t="s">
        <v>133</v>
      </c>
      <c r="H41" s="35">
        <f>H44/H42</f>
        <v>1733.5950310559042</v>
      </c>
      <c r="I41" s="240" t="s">
        <v>133</v>
      </c>
      <c r="J41" s="35">
        <f>J44/J42</f>
        <v>1670.2453416149067</v>
      </c>
      <c r="K41" s="35">
        <f>AVERAGE(F41:J41)</f>
        <v>1613.2801242236037</v>
      </c>
    </row>
    <row r="42" spans="1:11" s="76" customFormat="1" ht="63" thickBot="1" x14ac:dyDescent="0.35">
      <c r="A42" s="293"/>
      <c r="B42" s="246" t="s">
        <v>239</v>
      </c>
      <c r="C42" s="246" t="s">
        <v>128</v>
      </c>
      <c r="D42" s="246" t="s">
        <v>240</v>
      </c>
      <c r="E42" s="247" t="s">
        <v>241</v>
      </c>
      <c r="F42" s="247">
        <f>1/4</f>
        <v>0.25</v>
      </c>
      <c r="G42" s="169">
        <v>0</v>
      </c>
      <c r="H42" s="247">
        <f>5/4</f>
        <v>1.25</v>
      </c>
      <c r="I42" s="169">
        <v>0</v>
      </c>
      <c r="J42" s="247">
        <f>4/4</f>
        <v>1</v>
      </c>
      <c r="K42" s="247">
        <f>SUM(F42:J42)</f>
        <v>2.5</v>
      </c>
    </row>
    <row r="43" spans="1:11" s="10" customFormat="1" ht="109.8" thickBot="1" x14ac:dyDescent="0.35">
      <c r="A43" s="293"/>
      <c r="B43" s="90" t="s">
        <v>243</v>
      </c>
      <c r="C43" s="90" t="s">
        <v>128</v>
      </c>
      <c r="D43" s="90" t="s">
        <v>244</v>
      </c>
      <c r="E43" s="15" t="s">
        <v>245</v>
      </c>
      <c r="F43" s="44">
        <f>1*'SDGE Pressure Districts'!C57/1</f>
        <v>191</v>
      </c>
      <c r="G43" s="169" t="s">
        <v>133</v>
      </c>
      <c r="H43" s="44">
        <f>5*'SDGE Pressure Districts'!C8/5</f>
        <v>2229.7329192546586</v>
      </c>
      <c r="I43" s="169" t="s">
        <v>133</v>
      </c>
      <c r="J43" s="44">
        <f>(1*181+3*'SDGE Pressure Districts'!C8)/4</f>
        <v>1717.5496894409939</v>
      </c>
      <c r="K43" s="44">
        <f>SUM(F43:J43)</f>
        <v>4138.282608695652</v>
      </c>
    </row>
    <row r="44" spans="1:11" s="10" customFormat="1" ht="94.2" thickBot="1" x14ac:dyDescent="0.35">
      <c r="A44" s="293"/>
      <c r="B44" s="90" t="s">
        <v>247</v>
      </c>
      <c r="C44" s="90" t="s">
        <v>128</v>
      </c>
      <c r="D44" s="90" t="s">
        <v>248</v>
      </c>
      <c r="E44" s="15" t="s">
        <v>249</v>
      </c>
      <c r="F44" s="44">
        <v>359</v>
      </c>
      <c r="G44" s="169" t="s">
        <v>133</v>
      </c>
      <c r="H44" s="44">
        <v>2166.9937888198801</v>
      </c>
      <c r="I44" s="169" t="s">
        <v>133</v>
      </c>
      <c r="J44" s="44">
        <f>('SDGE Pressure Districts'!D45+3*'SDGE Pressure Districts'!D8)/4</f>
        <v>1670.2453416149067</v>
      </c>
      <c r="K44" s="44">
        <f>SUM(F44:J44)</f>
        <v>4196.2391304347866</v>
      </c>
    </row>
    <row r="45" spans="1:11" s="10" customFormat="1" ht="63" thickBot="1" x14ac:dyDescent="0.35">
      <c r="A45" s="293"/>
      <c r="B45" s="90" t="s">
        <v>251</v>
      </c>
      <c r="C45" s="90" t="s">
        <v>128</v>
      </c>
      <c r="D45" s="90" t="s">
        <v>252</v>
      </c>
      <c r="E45" s="15" t="s">
        <v>253</v>
      </c>
      <c r="F45" s="294" t="s">
        <v>1304</v>
      </c>
      <c r="G45" s="294"/>
      <c r="H45" s="294"/>
      <c r="I45" s="294"/>
      <c r="J45" s="294"/>
      <c r="K45" s="294"/>
    </row>
    <row r="46" spans="1:11" s="10" customFormat="1" ht="63" thickBot="1" x14ac:dyDescent="0.35">
      <c r="A46" s="293"/>
      <c r="B46" s="90" t="s">
        <v>255</v>
      </c>
      <c r="C46" s="90" t="s">
        <v>128</v>
      </c>
      <c r="D46" s="93" t="s">
        <v>256</v>
      </c>
      <c r="E46" s="15" t="s">
        <v>257</v>
      </c>
      <c r="F46" s="294" t="s">
        <v>1310</v>
      </c>
      <c r="G46" s="294"/>
      <c r="H46" s="294"/>
      <c r="I46" s="294"/>
      <c r="J46" s="294"/>
      <c r="K46" s="294"/>
    </row>
    <row r="48" spans="1:11" s="10" customFormat="1" x14ac:dyDescent="0.3">
      <c r="A48" s="8"/>
      <c r="B48" s="8"/>
      <c r="C48" s="8"/>
      <c r="D48" s="8"/>
      <c r="E48" s="8"/>
      <c r="F48" s="8"/>
      <c r="G48" s="8"/>
      <c r="H48" s="8"/>
      <c r="I48" s="8"/>
      <c r="J48" s="8"/>
      <c r="K48" s="8"/>
    </row>
    <row r="49" spans="2:6" s="81" customFormat="1" ht="57.75" customHeight="1" x14ac:dyDescent="0.3">
      <c r="B49" s="289" t="s">
        <v>1311</v>
      </c>
      <c r="C49" s="289"/>
      <c r="D49" s="289"/>
      <c r="E49" s="289"/>
      <c r="F49" s="289"/>
    </row>
    <row r="50" spans="2:6" s="81" customFormat="1" ht="31.2" customHeight="1" x14ac:dyDescent="0.3">
      <c r="B50" s="290" t="s">
        <v>1312</v>
      </c>
      <c r="C50" s="290"/>
      <c r="D50" s="290"/>
      <c r="E50" s="290"/>
      <c r="F50" s="290"/>
    </row>
  </sheetData>
  <mergeCells count="15">
    <mergeCell ref="B49:F49"/>
    <mergeCell ref="B50:F50"/>
    <mergeCell ref="A6:A7"/>
    <mergeCell ref="F4:G4"/>
    <mergeCell ref="A23:A35"/>
    <mergeCell ref="F45:K45"/>
    <mergeCell ref="F46:K46"/>
    <mergeCell ref="F15:K15"/>
    <mergeCell ref="A37:A46"/>
    <mergeCell ref="A9:A15"/>
    <mergeCell ref="H4:J4"/>
    <mergeCell ref="A17:A21"/>
    <mergeCell ref="F12:K12"/>
    <mergeCell ref="F38:K38"/>
    <mergeCell ref="F39:K39"/>
  </mergeCells>
  <conditionalFormatting sqref="E15 E46 D48">
    <cfRule type="containsText" dxfId="3" priority="2" operator="containsText" text="Calculated">
      <formula>NOT(ISERROR(SEARCH("Calculated",D15)))</formula>
    </cfRule>
  </conditionalFormatting>
  <conditionalFormatting sqref="E42:E44">
    <cfRule type="containsText" dxfId="2" priority="1" operator="containsText" text="Calculated">
      <formula>NOT(ISERROR(SEARCH("Calculated",E42)))</formula>
    </cfRule>
  </conditionalFormatting>
  <dataValidations count="2">
    <dataValidation allowBlank="1" showInputMessage="1" showErrorMessage="1" sqref="B17" xr:uid="{C470F0A1-CF26-45D1-A1EE-CA780D46B6F2}"/>
    <dataValidation allowBlank="1" showErrorMessage="1" sqref="C17" xr:uid="{EC897ADF-950A-4F18-8379-3AE5FC7CF302}"/>
  </dataValidations>
  <hyperlinks>
    <hyperlink ref="E17" r:id="rId1" location="_ftn2" display="_ftn2" xr:uid="{FA38280B-04C0-46DB-9028-37AE85FF0745}"/>
    <hyperlink ref="E6" r:id="rId2" location="_ftn1" display="_ftn1" xr:uid="{CC7AC963-0BB3-4547-A6D7-DFE4AB5C3495}"/>
    <hyperlink ref="E44" r:id="rId3" location="_ftn2" display="_ftn2" xr:uid="{B58E482B-7731-4FA2-AC35-B4D12AFDF475}"/>
    <hyperlink ref="E43" r:id="rId4" location="_ftn1" display="_ftn1" xr:uid="{9577D263-8ABF-452C-8114-C13392904BB9}"/>
    <hyperlink ref="E37" r:id="rId5" location="'Costs by Operating District'!A23" display="Definition [4]" xr:uid="{1FABCD6A-CB68-48F6-B4DE-973A346791D0}"/>
  </hyperlinks>
  <printOptions horizontalCentered="1"/>
  <pageMargins left="0.25" right="0.25" top="0.75" bottom="0.75" header="0.3" footer="0.3"/>
  <pageSetup scale="72" fitToHeight="0" orientation="landscape" r:id="rId6"/>
  <customProperties>
    <customPr name="_pios_id" r:id="rId7"/>
  </customProperties>
  <drawing r:id="rId8"/>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9A3B20-335C-496A-B27A-BF0E4063A532}">
  <sheetPr>
    <pageSetUpPr fitToPage="1"/>
  </sheetPr>
  <dimension ref="A1:N110"/>
  <sheetViews>
    <sheetView zoomScale="90" zoomScaleNormal="90" workbookViewId="0">
      <selection activeCell="A4" sqref="A4"/>
    </sheetView>
  </sheetViews>
  <sheetFormatPr defaultColWidth="8.6640625" defaultRowHeight="15.6" x14ac:dyDescent="0.3"/>
  <cols>
    <col min="1" max="1" width="16.109375" style="10" customWidth="1"/>
    <col min="2" max="2" width="13.88671875" style="10" customWidth="1"/>
    <col min="3" max="5" width="22.109375" style="10" customWidth="1"/>
    <col min="6" max="6" width="33" style="10" customWidth="1"/>
    <col min="7" max="13" width="22.109375" style="10" customWidth="1"/>
    <col min="14" max="16384" width="8.6640625" style="10"/>
  </cols>
  <sheetData>
    <row r="1" spans="1:14" ht="15.75" customHeight="1" x14ac:dyDescent="0.3">
      <c r="A1" s="1" t="s">
        <v>1313</v>
      </c>
      <c r="F1" s="25"/>
    </row>
    <row r="2" spans="1:14" ht="15.75" customHeight="1" x14ac:dyDescent="0.3">
      <c r="A2" s="1" t="s">
        <v>1295</v>
      </c>
      <c r="F2" s="25"/>
    </row>
    <row r="3" spans="1:14" ht="15.75" customHeight="1" x14ac:dyDescent="0.3">
      <c r="A3" s="1" t="s">
        <v>79</v>
      </c>
      <c r="F3" s="25"/>
    </row>
    <row r="4" spans="1:14" ht="15.75" customHeight="1" thickBot="1" x14ac:dyDescent="0.35">
      <c r="F4" s="25"/>
    </row>
    <row r="5" spans="1:14" s="1" customFormat="1" ht="16.2" thickBot="1" x14ac:dyDescent="0.35">
      <c r="A5" s="21" t="s">
        <v>262</v>
      </c>
      <c r="B5" s="274" t="s">
        <v>263</v>
      </c>
      <c r="C5" s="274" t="s">
        <v>264</v>
      </c>
      <c r="D5" s="274" t="s">
        <v>265</v>
      </c>
      <c r="E5" s="274" t="s">
        <v>266</v>
      </c>
      <c r="F5" s="274" t="s">
        <v>267</v>
      </c>
      <c r="G5" s="274" t="s">
        <v>268</v>
      </c>
      <c r="H5" s="274" t="s">
        <v>269</v>
      </c>
      <c r="I5" s="274" t="s">
        <v>270</v>
      </c>
      <c r="J5" s="274" t="s">
        <v>271</v>
      </c>
      <c r="K5" s="274" t="s">
        <v>272</v>
      </c>
      <c r="L5" s="274" t="s">
        <v>273</v>
      </c>
      <c r="M5" s="274" t="s">
        <v>274</v>
      </c>
      <c r="N5" s="22"/>
    </row>
    <row r="6" spans="1:14" ht="33" thickBot="1" x14ac:dyDescent="0.35">
      <c r="A6" s="2" t="s">
        <v>275</v>
      </c>
      <c r="B6" s="90" t="s">
        <v>276</v>
      </c>
      <c r="C6" s="93" t="s">
        <v>277</v>
      </c>
      <c r="D6" s="93" t="s">
        <v>278</v>
      </c>
      <c r="E6" s="90" t="s">
        <v>59</v>
      </c>
      <c r="F6" s="90" t="s">
        <v>279</v>
      </c>
      <c r="G6" s="90" t="s">
        <v>280</v>
      </c>
      <c r="H6" s="90" t="s">
        <v>281</v>
      </c>
      <c r="I6" s="90" t="s">
        <v>282</v>
      </c>
      <c r="J6" s="90" t="s">
        <v>283</v>
      </c>
      <c r="K6" s="90" t="s">
        <v>284</v>
      </c>
      <c r="L6" s="90" t="s">
        <v>285</v>
      </c>
      <c r="M6" s="90" t="s">
        <v>286</v>
      </c>
      <c r="N6" s="8"/>
    </row>
    <row r="7" spans="1:14" ht="184.5" customHeight="1" thickBot="1" x14ac:dyDescent="0.35">
      <c r="A7" s="2" t="s">
        <v>53</v>
      </c>
      <c r="B7" s="15" t="s">
        <v>287</v>
      </c>
      <c r="C7" s="15" t="s">
        <v>288</v>
      </c>
      <c r="D7" s="15" t="s">
        <v>289</v>
      </c>
      <c r="E7" s="15" t="s">
        <v>290</v>
      </c>
      <c r="F7" s="15" t="s">
        <v>811</v>
      </c>
      <c r="G7" s="15" t="s">
        <v>292</v>
      </c>
      <c r="H7" s="15" t="s">
        <v>293</v>
      </c>
      <c r="I7" s="15" t="s">
        <v>294</v>
      </c>
      <c r="J7" s="15" t="s">
        <v>295</v>
      </c>
      <c r="K7" s="15" t="s">
        <v>296</v>
      </c>
      <c r="L7" s="15" t="s">
        <v>297</v>
      </c>
      <c r="M7" s="15" t="s">
        <v>298</v>
      </c>
      <c r="N7" s="8"/>
    </row>
    <row r="8" spans="1:14" ht="409.6" thickBot="1" x14ac:dyDescent="0.35">
      <c r="A8" s="2"/>
      <c r="B8" s="2">
        <v>1001</v>
      </c>
      <c r="C8" s="266">
        <f>H8/E8</f>
        <v>2229.7329192546586</v>
      </c>
      <c r="D8" s="266">
        <f>I8/E8</f>
        <v>2166.9937888198756</v>
      </c>
      <c r="E8" s="15">
        <v>161</v>
      </c>
      <c r="F8" s="15">
        <v>7</v>
      </c>
      <c r="G8" s="15" t="s">
        <v>813</v>
      </c>
      <c r="H8" s="15">
        <v>358987</v>
      </c>
      <c r="I8" s="15">
        <f>SUM(J8, K8)</f>
        <v>348886</v>
      </c>
      <c r="J8" s="15">
        <v>348869</v>
      </c>
      <c r="K8" s="15">
        <v>17</v>
      </c>
      <c r="L8" s="15" t="s">
        <v>1314</v>
      </c>
      <c r="M8" s="15" t="s">
        <v>1315</v>
      </c>
      <c r="N8" s="233"/>
    </row>
    <row r="9" spans="1:14" ht="409.6" thickBot="1" x14ac:dyDescent="0.35">
      <c r="A9" s="2"/>
      <c r="B9" s="2">
        <v>1004</v>
      </c>
      <c r="C9" s="266">
        <f t="shared" ref="C9:C13" si="0">H9/E9</f>
        <v>2876.4676258992804</v>
      </c>
      <c r="D9" s="266">
        <f t="shared" ref="D9:D72" si="1">I9/E9</f>
        <v>3380.0071942446043</v>
      </c>
      <c r="E9" s="15">
        <v>139</v>
      </c>
      <c r="F9" s="15">
        <v>4</v>
      </c>
      <c r="G9" s="15" t="s">
        <v>813</v>
      </c>
      <c r="H9" s="15">
        <v>399829</v>
      </c>
      <c r="I9" s="15">
        <f t="shared" ref="I9:I72" si="2">SUM(J9, K9)</f>
        <v>469821</v>
      </c>
      <c r="J9" s="15">
        <v>469807</v>
      </c>
      <c r="K9" s="15">
        <v>14</v>
      </c>
      <c r="L9" s="15" t="s">
        <v>1316</v>
      </c>
      <c r="M9" s="15" t="s">
        <v>1317</v>
      </c>
      <c r="N9" s="233"/>
    </row>
    <row r="10" spans="1:14" ht="156.6" thickBot="1" x14ac:dyDescent="0.35">
      <c r="A10" s="2"/>
      <c r="B10" s="2">
        <v>1005</v>
      </c>
      <c r="C10" s="15">
        <f t="shared" si="0"/>
        <v>2898</v>
      </c>
      <c r="D10" s="15">
        <f t="shared" si="1"/>
        <v>2520</v>
      </c>
      <c r="E10" s="15">
        <v>3</v>
      </c>
      <c r="F10" s="15">
        <v>1</v>
      </c>
      <c r="G10" s="15" t="s">
        <v>813</v>
      </c>
      <c r="H10" s="15">
        <v>8694</v>
      </c>
      <c r="I10" s="15">
        <f t="shared" si="2"/>
        <v>7560</v>
      </c>
      <c r="J10" s="15">
        <v>7560</v>
      </c>
      <c r="K10" s="15">
        <v>0</v>
      </c>
      <c r="L10" s="15" t="s">
        <v>1318</v>
      </c>
      <c r="M10" s="15" t="s">
        <v>1319</v>
      </c>
      <c r="N10" s="233"/>
    </row>
    <row r="11" spans="1:14" ht="16.2" thickBot="1" x14ac:dyDescent="0.35">
      <c r="A11" s="2"/>
      <c r="B11" s="2">
        <v>1006</v>
      </c>
      <c r="C11" s="15">
        <f t="shared" si="0"/>
        <v>8</v>
      </c>
      <c r="D11" s="15">
        <f t="shared" si="1"/>
        <v>5</v>
      </c>
      <c r="E11" s="15">
        <v>1</v>
      </c>
      <c r="F11" s="15">
        <v>0</v>
      </c>
      <c r="G11" s="15" t="s">
        <v>813</v>
      </c>
      <c r="H11" s="15">
        <v>8</v>
      </c>
      <c r="I11" s="15">
        <f t="shared" si="2"/>
        <v>5</v>
      </c>
      <c r="J11" s="15">
        <v>5</v>
      </c>
      <c r="K11" s="15">
        <v>0</v>
      </c>
      <c r="L11" s="15" t="s">
        <v>1320</v>
      </c>
      <c r="M11" s="15" t="s">
        <v>1321</v>
      </c>
      <c r="N11" s="233"/>
    </row>
    <row r="12" spans="1:14" ht="109.8" thickBot="1" x14ac:dyDescent="0.35">
      <c r="A12" s="2"/>
      <c r="B12" s="2">
        <v>1008</v>
      </c>
      <c r="C12" s="266">
        <f t="shared" si="0"/>
        <v>2244.6666666666665</v>
      </c>
      <c r="D12" s="266">
        <f t="shared" si="1"/>
        <v>2367.3333333333335</v>
      </c>
      <c r="E12" s="15">
        <v>3</v>
      </c>
      <c r="F12" s="15">
        <v>0</v>
      </c>
      <c r="G12" s="15" t="s">
        <v>813</v>
      </c>
      <c r="H12" s="15">
        <v>6734</v>
      </c>
      <c r="I12" s="15">
        <f t="shared" si="2"/>
        <v>7102</v>
      </c>
      <c r="J12" s="15">
        <v>7102</v>
      </c>
      <c r="K12" s="15">
        <v>0</v>
      </c>
      <c r="L12" s="15" t="s">
        <v>1322</v>
      </c>
      <c r="M12" s="15" t="s">
        <v>1323</v>
      </c>
      <c r="N12" s="233"/>
    </row>
    <row r="13" spans="1:14" ht="16.2" thickBot="1" x14ac:dyDescent="0.35">
      <c r="A13" s="2"/>
      <c r="B13" s="2">
        <v>1012</v>
      </c>
      <c r="C13" s="15">
        <f t="shared" si="0"/>
        <v>0</v>
      </c>
      <c r="D13" s="15">
        <f t="shared" si="1"/>
        <v>381</v>
      </c>
      <c r="E13" s="15">
        <v>1</v>
      </c>
      <c r="F13" s="15">
        <v>0</v>
      </c>
      <c r="G13" s="15" t="s">
        <v>813</v>
      </c>
      <c r="H13" s="15">
        <v>0</v>
      </c>
      <c r="I13" s="15">
        <f t="shared" si="2"/>
        <v>381</v>
      </c>
      <c r="J13" s="15">
        <v>381</v>
      </c>
      <c r="K13" s="15">
        <v>0</v>
      </c>
      <c r="L13" s="15"/>
      <c r="M13" s="15" t="e">
        <v>#N/A</v>
      </c>
      <c r="N13" s="233"/>
    </row>
    <row r="14" spans="1:14" ht="109.8" thickBot="1" x14ac:dyDescent="0.35">
      <c r="A14" s="2"/>
      <c r="B14" s="2">
        <v>1015</v>
      </c>
      <c r="C14" s="15">
        <f>H14/E14</f>
        <v>727</v>
      </c>
      <c r="D14" s="15">
        <f t="shared" si="1"/>
        <v>1790</v>
      </c>
      <c r="E14" s="15">
        <v>3</v>
      </c>
      <c r="F14" s="15">
        <v>0</v>
      </c>
      <c r="G14" s="15" t="s">
        <v>813</v>
      </c>
      <c r="H14" s="15">
        <v>2181</v>
      </c>
      <c r="I14" s="15">
        <f t="shared" si="2"/>
        <v>5370</v>
      </c>
      <c r="J14" s="15">
        <v>5367</v>
      </c>
      <c r="K14" s="15">
        <v>3</v>
      </c>
      <c r="L14" s="15" t="s">
        <v>1324</v>
      </c>
      <c r="M14" s="15" t="s">
        <v>1325</v>
      </c>
      <c r="N14" s="233"/>
    </row>
    <row r="15" spans="1:14" ht="125.4" thickBot="1" x14ac:dyDescent="0.35">
      <c r="A15" s="2"/>
      <c r="B15" s="2">
        <v>1027</v>
      </c>
      <c r="C15" s="15">
        <f t="shared" ref="C15:C78" si="3">H15/E15</f>
        <v>109</v>
      </c>
      <c r="D15" s="266">
        <f t="shared" si="1"/>
        <v>187.33333333333334</v>
      </c>
      <c r="E15" s="15">
        <v>3</v>
      </c>
      <c r="F15" s="15">
        <v>1</v>
      </c>
      <c r="G15" s="15" t="s">
        <v>813</v>
      </c>
      <c r="H15" s="15">
        <v>327</v>
      </c>
      <c r="I15" s="15">
        <f t="shared" si="2"/>
        <v>562</v>
      </c>
      <c r="J15" s="15">
        <v>562</v>
      </c>
      <c r="K15" s="15">
        <v>0</v>
      </c>
      <c r="L15" s="15" t="s">
        <v>1322</v>
      </c>
      <c r="M15" s="15" t="s">
        <v>1326</v>
      </c>
      <c r="N15" s="233"/>
    </row>
    <row r="16" spans="1:14" ht="63" thickBot="1" x14ac:dyDescent="0.35">
      <c r="A16" s="2"/>
      <c r="B16" s="2">
        <v>1035</v>
      </c>
      <c r="C16" s="15">
        <f t="shared" si="3"/>
        <v>231.5</v>
      </c>
      <c r="D16" s="15">
        <f t="shared" si="1"/>
        <v>904</v>
      </c>
      <c r="E16" s="15">
        <v>2</v>
      </c>
      <c r="F16" s="15">
        <v>0</v>
      </c>
      <c r="G16" s="15" t="s">
        <v>813</v>
      </c>
      <c r="H16" s="15">
        <v>463</v>
      </c>
      <c r="I16" s="15">
        <f t="shared" si="2"/>
        <v>1808</v>
      </c>
      <c r="J16" s="15">
        <v>1808</v>
      </c>
      <c r="K16" s="15">
        <v>0</v>
      </c>
      <c r="L16" s="15" t="s">
        <v>1324</v>
      </c>
      <c r="M16" s="15" t="s">
        <v>1327</v>
      </c>
      <c r="N16" s="233"/>
    </row>
    <row r="17" spans="1:14" ht="78.599999999999994" thickBot="1" x14ac:dyDescent="0.35">
      <c r="A17" s="2"/>
      <c r="B17" s="2">
        <v>1046</v>
      </c>
      <c r="C17" s="15">
        <f t="shared" si="3"/>
        <v>1177.4000000000001</v>
      </c>
      <c r="D17" s="15">
        <f t="shared" si="1"/>
        <v>1441</v>
      </c>
      <c r="E17" s="15">
        <v>5</v>
      </c>
      <c r="F17" s="15">
        <v>0</v>
      </c>
      <c r="G17" s="15" t="s">
        <v>813</v>
      </c>
      <c r="H17" s="15">
        <v>5887</v>
      </c>
      <c r="I17" s="15">
        <f t="shared" si="2"/>
        <v>7205</v>
      </c>
      <c r="J17" s="15">
        <v>7205</v>
      </c>
      <c r="K17" s="15">
        <v>0</v>
      </c>
      <c r="L17" s="15" t="s">
        <v>1324</v>
      </c>
      <c r="M17" s="15" t="s">
        <v>1328</v>
      </c>
      <c r="N17" s="233"/>
    </row>
    <row r="18" spans="1:14" ht="31.8" thickBot="1" x14ac:dyDescent="0.35">
      <c r="A18" s="2"/>
      <c r="B18" s="2">
        <v>1053</v>
      </c>
      <c r="C18" s="15">
        <f t="shared" si="3"/>
        <v>606</v>
      </c>
      <c r="D18" s="15">
        <f t="shared" si="1"/>
        <v>622</v>
      </c>
      <c r="E18" s="15">
        <v>1</v>
      </c>
      <c r="F18" s="15">
        <v>0</v>
      </c>
      <c r="G18" s="15" t="s">
        <v>813</v>
      </c>
      <c r="H18" s="15">
        <v>606</v>
      </c>
      <c r="I18" s="15">
        <f t="shared" si="2"/>
        <v>622</v>
      </c>
      <c r="J18" s="15">
        <v>622</v>
      </c>
      <c r="K18" s="15">
        <v>0</v>
      </c>
      <c r="L18" s="15" t="s">
        <v>1329</v>
      </c>
      <c r="M18" s="15" t="s">
        <v>1330</v>
      </c>
      <c r="N18" s="233"/>
    </row>
    <row r="19" spans="1:14" ht="31.8" thickBot="1" x14ac:dyDescent="0.35">
      <c r="A19" s="2"/>
      <c r="B19" s="2">
        <v>1077</v>
      </c>
      <c r="C19" s="15">
        <f t="shared" si="3"/>
        <v>14</v>
      </c>
      <c r="D19" s="15">
        <f t="shared" si="1"/>
        <v>8</v>
      </c>
      <c r="E19" s="15">
        <v>1</v>
      </c>
      <c r="F19" s="15">
        <v>0</v>
      </c>
      <c r="G19" s="15" t="s">
        <v>813</v>
      </c>
      <c r="H19" s="15">
        <v>14</v>
      </c>
      <c r="I19" s="15">
        <f>SUM(J19, K19)</f>
        <v>8</v>
      </c>
      <c r="J19" s="15">
        <v>8</v>
      </c>
      <c r="K19" s="15">
        <v>0</v>
      </c>
      <c r="L19" s="15" t="s">
        <v>1320</v>
      </c>
      <c r="M19" s="15" t="s">
        <v>1331</v>
      </c>
      <c r="N19" s="233"/>
    </row>
    <row r="20" spans="1:14" ht="16.2" thickBot="1" x14ac:dyDescent="0.35">
      <c r="A20" s="2"/>
      <c r="B20" s="2">
        <v>1078</v>
      </c>
      <c r="C20" s="15">
        <f t="shared" si="3"/>
        <v>3</v>
      </c>
      <c r="D20" s="15">
        <f t="shared" si="1"/>
        <v>1</v>
      </c>
      <c r="E20" s="15">
        <v>1</v>
      </c>
      <c r="F20" s="15">
        <v>0</v>
      </c>
      <c r="G20" s="15" t="s">
        <v>813</v>
      </c>
      <c r="H20" s="15">
        <v>3</v>
      </c>
      <c r="I20" s="15">
        <f t="shared" si="2"/>
        <v>1</v>
      </c>
      <c r="J20" s="15">
        <v>1</v>
      </c>
      <c r="K20" s="15">
        <v>0</v>
      </c>
      <c r="L20" s="15" t="s">
        <v>1332</v>
      </c>
      <c r="M20" s="15" t="s">
        <v>1333</v>
      </c>
      <c r="N20" s="233"/>
    </row>
    <row r="21" spans="1:14" ht="16.2" thickBot="1" x14ac:dyDescent="0.35">
      <c r="A21" s="2"/>
      <c r="B21" s="2">
        <v>1083</v>
      </c>
      <c r="C21" s="15">
        <f t="shared" si="3"/>
        <v>72</v>
      </c>
      <c r="D21" s="15">
        <f t="shared" si="1"/>
        <v>33</v>
      </c>
      <c r="E21" s="15">
        <v>1</v>
      </c>
      <c r="F21" s="15">
        <v>0</v>
      </c>
      <c r="G21" s="15" t="s">
        <v>813</v>
      </c>
      <c r="H21" s="15">
        <v>72</v>
      </c>
      <c r="I21" s="15">
        <f t="shared" si="2"/>
        <v>33</v>
      </c>
      <c r="J21" s="15">
        <v>33</v>
      </c>
      <c r="K21" s="15">
        <v>0</v>
      </c>
      <c r="L21" s="15" t="s">
        <v>1320</v>
      </c>
      <c r="M21" s="15" t="s">
        <v>1334</v>
      </c>
      <c r="N21" s="233"/>
    </row>
    <row r="22" spans="1:14" ht="47.4" thickBot="1" x14ac:dyDescent="0.35">
      <c r="A22" s="2"/>
      <c r="B22" s="2">
        <v>1017</v>
      </c>
      <c r="C22" s="15">
        <f t="shared" si="3"/>
        <v>12</v>
      </c>
      <c r="D22" s="15">
        <f t="shared" si="1"/>
        <v>42</v>
      </c>
      <c r="E22" s="15">
        <v>1</v>
      </c>
      <c r="F22" s="15">
        <v>0</v>
      </c>
      <c r="G22" s="15" t="s">
        <v>813</v>
      </c>
      <c r="H22" s="15">
        <v>12</v>
      </c>
      <c r="I22" s="15">
        <f t="shared" si="2"/>
        <v>42</v>
      </c>
      <c r="J22" s="15">
        <v>42</v>
      </c>
      <c r="K22" s="15">
        <v>0</v>
      </c>
      <c r="L22" s="15" t="s">
        <v>1322</v>
      </c>
      <c r="M22" s="15" t="s">
        <v>1335</v>
      </c>
      <c r="N22" s="233"/>
    </row>
    <row r="23" spans="1:14" ht="31.8" thickBot="1" x14ac:dyDescent="0.35">
      <c r="A23" s="2"/>
      <c r="B23" s="2">
        <v>1070</v>
      </c>
      <c r="C23" s="15">
        <f t="shared" si="3"/>
        <v>77</v>
      </c>
      <c r="D23" s="15">
        <f t="shared" si="1"/>
        <v>183</v>
      </c>
      <c r="E23" s="15">
        <v>1</v>
      </c>
      <c r="F23" s="15">
        <v>0</v>
      </c>
      <c r="G23" s="15" t="s">
        <v>813</v>
      </c>
      <c r="H23" s="15">
        <v>77</v>
      </c>
      <c r="I23" s="15">
        <f t="shared" si="2"/>
        <v>183</v>
      </c>
      <c r="J23" s="15">
        <v>183</v>
      </c>
      <c r="K23" s="15">
        <v>0</v>
      </c>
      <c r="L23" s="15" t="s">
        <v>1329</v>
      </c>
      <c r="M23" s="15" t="s">
        <v>1336</v>
      </c>
      <c r="N23" s="233"/>
    </row>
    <row r="24" spans="1:14" ht="31.8" thickBot="1" x14ac:dyDescent="0.35">
      <c r="A24" s="2"/>
      <c r="B24" s="2">
        <v>1103</v>
      </c>
      <c r="C24" s="15">
        <f t="shared" si="3"/>
        <v>4</v>
      </c>
      <c r="D24" s="15">
        <f t="shared" si="1"/>
        <v>5</v>
      </c>
      <c r="E24" s="15">
        <v>1</v>
      </c>
      <c r="F24" s="15">
        <v>0</v>
      </c>
      <c r="G24" s="15" t="s">
        <v>813</v>
      </c>
      <c r="H24" s="15">
        <v>4</v>
      </c>
      <c r="I24" s="15">
        <f t="shared" si="2"/>
        <v>5</v>
      </c>
      <c r="J24" s="15">
        <v>5</v>
      </c>
      <c r="K24" s="15">
        <v>0</v>
      </c>
      <c r="L24" s="15" t="s">
        <v>1320</v>
      </c>
      <c r="M24" s="15" t="s">
        <v>1337</v>
      </c>
      <c r="N24" s="233"/>
    </row>
    <row r="25" spans="1:14" ht="16.2" thickBot="1" x14ac:dyDescent="0.35">
      <c r="A25" s="2"/>
      <c r="B25" s="2">
        <v>1080</v>
      </c>
      <c r="C25" s="15">
        <f t="shared" si="3"/>
        <v>11</v>
      </c>
      <c r="D25" s="15">
        <f t="shared" si="1"/>
        <v>6</v>
      </c>
      <c r="E25" s="15">
        <v>1</v>
      </c>
      <c r="F25" s="15">
        <v>0</v>
      </c>
      <c r="G25" s="15" t="s">
        <v>813</v>
      </c>
      <c r="H25" s="15">
        <v>11</v>
      </c>
      <c r="I25" s="15">
        <f t="shared" si="2"/>
        <v>6</v>
      </c>
      <c r="J25" s="15">
        <v>6</v>
      </c>
      <c r="K25" s="15">
        <v>0</v>
      </c>
      <c r="L25" s="15" t="s">
        <v>1320</v>
      </c>
      <c r="M25" s="15">
        <v>6073019002</v>
      </c>
      <c r="N25" s="233"/>
    </row>
    <row r="26" spans="1:14" ht="16.2" thickBot="1" x14ac:dyDescent="0.35">
      <c r="A26" s="2"/>
      <c r="B26" s="2">
        <v>1076</v>
      </c>
      <c r="C26" s="15">
        <f t="shared" si="3"/>
        <v>31</v>
      </c>
      <c r="D26" s="15">
        <f t="shared" si="1"/>
        <v>54</v>
      </c>
      <c r="E26" s="15">
        <v>1</v>
      </c>
      <c r="F26" s="15">
        <v>0</v>
      </c>
      <c r="G26" s="15" t="s">
        <v>813</v>
      </c>
      <c r="H26" s="15">
        <v>31</v>
      </c>
      <c r="I26" s="15">
        <f t="shared" si="2"/>
        <v>54</v>
      </c>
      <c r="J26" s="15">
        <v>54</v>
      </c>
      <c r="K26" s="15">
        <v>0</v>
      </c>
      <c r="L26" s="15" t="s">
        <v>1332</v>
      </c>
      <c r="M26" s="15">
        <v>6073016202</v>
      </c>
      <c r="N26" s="233"/>
    </row>
    <row r="27" spans="1:14" ht="16.2" thickBot="1" x14ac:dyDescent="0.35">
      <c r="A27" s="2"/>
      <c r="B27" s="2">
        <v>1095</v>
      </c>
      <c r="C27" s="15">
        <f t="shared" si="3"/>
        <v>2</v>
      </c>
      <c r="D27" s="15">
        <f t="shared" si="1"/>
        <v>2</v>
      </c>
      <c r="E27" s="15">
        <v>1</v>
      </c>
      <c r="F27" s="15">
        <v>0</v>
      </c>
      <c r="G27" s="15" t="s">
        <v>813</v>
      </c>
      <c r="H27" s="15">
        <v>2</v>
      </c>
      <c r="I27" s="15">
        <f t="shared" si="2"/>
        <v>2</v>
      </c>
      <c r="J27" s="15">
        <v>2</v>
      </c>
      <c r="K27" s="15">
        <v>0</v>
      </c>
      <c r="L27" s="15" t="s">
        <v>1320</v>
      </c>
      <c r="M27" s="15" t="s">
        <v>1338</v>
      </c>
      <c r="N27" s="233"/>
    </row>
    <row r="28" spans="1:14" ht="16.2" thickBot="1" x14ac:dyDescent="0.35">
      <c r="A28" s="2"/>
      <c r="B28" s="2">
        <v>1109</v>
      </c>
      <c r="C28" s="15">
        <f t="shared" si="3"/>
        <v>78</v>
      </c>
      <c r="D28" s="15">
        <f t="shared" si="1"/>
        <v>40</v>
      </c>
      <c r="E28" s="15">
        <v>1</v>
      </c>
      <c r="F28" s="15">
        <v>0</v>
      </c>
      <c r="G28" s="15" t="s">
        <v>813</v>
      </c>
      <c r="H28" s="15">
        <v>78</v>
      </c>
      <c r="I28" s="15">
        <f t="shared" si="2"/>
        <v>40</v>
      </c>
      <c r="J28" s="15">
        <v>40</v>
      </c>
      <c r="K28" s="15">
        <v>0</v>
      </c>
      <c r="L28" s="15" t="s">
        <v>1320</v>
      </c>
      <c r="M28" s="15" t="s">
        <v>1334</v>
      </c>
      <c r="N28" s="233"/>
    </row>
    <row r="29" spans="1:14" ht="31.8" thickBot="1" x14ac:dyDescent="0.35">
      <c r="A29" s="2"/>
      <c r="B29" s="2">
        <v>1058</v>
      </c>
      <c r="C29" s="15">
        <f t="shared" si="3"/>
        <v>136</v>
      </c>
      <c r="D29" s="15">
        <f t="shared" si="1"/>
        <v>125</v>
      </c>
      <c r="E29" s="15">
        <v>1</v>
      </c>
      <c r="F29" s="15">
        <v>0</v>
      </c>
      <c r="G29" s="15" t="s">
        <v>813</v>
      </c>
      <c r="H29" s="15">
        <v>136</v>
      </c>
      <c r="I29" s="15">
        <f t="shared" si="2"/>
        <v>125</v>
      </c>
      <c r="J29" s="15">
        <v>125</v>
      </c>
      <c r="K29" s="15">
        <v>0</v>
      </c>
      <c r="L29" s="15" t="s">
        <v>1329</v>
      </c>
      <c r="M29" s="15" t="s">
        <v>1339</v>
      </c>
      <c r="N29" s="233"/>
    </row>
    <row r="30" spans="1:14" ht="16.2" thickBot="1" x14ac:dyDescent="0.35">
      <c r="A30" s="2"/>
      <c r="B30" s="2">
        <v>1124</v>
      </c>
      <c r="C30" s="15">
        <f t="shared" si="3"/>
        <v>1</v>
      </c>
      <c r="D30" s="15">
        <f t="shared" si="1"/>
        <v>0</v>
      </c>
      <c r="E30" s="15">
        <v>1</v>
      </c>
      <c r="F30" s="15">
        <v>0</v>
      </c>
      <c r="G30" s="15" t="s">
        <v>813</v>
      </c>
      <c r="H30" s="15">
        <v>1</v>
      </c>
      <c r="I30" s="15">
        <f t="shared" si="2"/>
        <v>0</v>
      </c>
      <c r="J30" s="15">
        <v>0</v>
      </c>
      <c r="K30" s="15">
        <v>0</v>
      </c>
      <c r="L30" s="15" t="s">
        <v>1332</v>
      </c>
      <c r="M30" s="15" t="s">
        <v>1333</v>
      </c>
      <c r="N30" s="233"/>
    </row>
    <row r="31" spans="1:14" ht="16.2" thickBot="1" x14ac:dyDescent="0.35">
      <c r="A31" s="2"/>
      <c r="B31" s="2">
        <v>1091</v>
      </c>
      <c r="C31" s="15">
        <f t="shared" si="3"/>
        <v>1</v>
      </c>
      <c r="D31" s="15">
        <f t="shared" si="1"/>
        <v>1</v>
      </c>
      <c r="E31" s="15">
        <v>1</v>
      </c>
      <c r="F31" s="15">
        <v>0</v>
      </c>
      <c r="G31" s="15" t="s">
        <v>813</v>
      </c>
      <c r="H31" s="15">
        <v>1</v>
      </c>
      <c r="I31" s="15">
        <f t="shared" si="2"/>
        <v>1</v>
      </c>
      <c r="J31" s="15">
        <v>1</v>
      </c>
      <c r="K31" s="15">
        <v>0</v>
      </c>
      <c r="L31" s="15" t="s">
        <v>1320</v>
      </c>
      <c r="M31" s="15" t="s">
        <v>1333</v>
      </c>
      <c r="N31" s="233"/>
    </row>
    <row r="32" spans="1:14" ht="31.8" thickBot="1" x14ac:dyDescent="0.35">
      <c r="A32" s="2"/>
      <c r="B32" s="2">
        <v>1106</v>
      </c>
      <c r="C32" s="15">
        <f t="shared" si="3"/>
        <v>52</v>
      </c>
      <c r="D32" s="15">
        <f t="shared" si="1"/>
        <v>535</v>
      </c>
      <c r="E32" s="15">
        <v>1</v>
      </c>
      <c r="F32" s="15">
        <v>0</v>
      </c>
      <c r="G32" s="15" t="s">
        <v>813</v>
      </c>
      <c r="H32" s="15">
        <v>52</v>
      </c>
      <c r="I32" s="15">
        <f t="shared" si="2"/>
        <v>535</v>
      </c>
      <c r="J32" s="15">
        <v>535</v>
      </c>
      <c r="K32" s="15">
        <v>0</v>
      </c>
      <c r="L32" s="15" t="s">
        <v>1324</v>
      </c>
      <c r="M32" s="15" t="s">
        <v>1340</v>
      </c>
      <c r="N32" s="233"/>
    </row>
    <row r="33" spans="1:14" ht="16.2" thickBot="1" x14ac:dyDescent="0.35">
      <c r="A33" s="2"/>
      <c r="B33" s="2">
        <v>1122</v>
      </c>
      <c r="C33" s="15">
        <f t="shared" si="3"/>
        <v>459</v>
      </c>
      <c r="D33" s="15">
        <f t="shared" si="1"/>
        <v>0</v>
      </c>
      <c r="E33" s="15">
        <v>1</v>
      </c>
      <c r="F33" s="15">
        <v>0</v>
      </c>
      <c r="G33" s="15" t="s">
        <v>813</v>
      </c>
      <c r="H33" s="15">
        <v>459</v>
      </c>
      <c r="I33" s="15">
        <f t="shared" si="2"/>
        <v>0</v>
      </c>
      <c r="J33" s="15"/>
      <c r="K33" s="15"/>
      <c r="L33" s="15" t="s">
        <v>1322</v>
      </c>
      <c r="M33" s="15" t="s">
        <v>1341</v>
      </c>
      <c r="N33" s="233"/>
    </row>
    <row r="34" spans="1:14" ht="16.2" thickBot="1" x14ac:dyDescent="0.35">
      <c r="A34" s="2"/>
      <c r="B34" s="2">
        <v>1011</v>
      </c>
      <c r="C34" s="15">
        <f t="shared" si="3"/>
        <v>312</v>
      </c>
      <c r="D34" s="15">
        <f t="shared" si="1"/>
        <v>582</v>
      </c>
      <c r="E34" s="15">
        <v>2</v>
      </c>
      <c r="F34" s="15">
        <v>0</v>
      </c>
      <c r="G34" s="15" t="s">
        <v>813</v>
      </c>
      <c r="H34" s="15">
        <v>624</v>
      </c>
      <c r="I34" s="15">
        <f t="shared" si="2"/>
        <v>1164</v>
      </c>
      <c r="J34" s="15">
        <v>1164</v>
      </c>
      <c r="K34" s="15">
        <v>0</v>
      </c>
      <c r="L34" s="15" t="s">
        <v>1329</v>
      </c>
      <c r="M34" s="15">
        <v>6073018700</v>
      </c>
      <c r="N34" s="233"/>
    </row>
    <row r="35" spans="1:14" ht="109.8" thickBot="1" x14ac:dyDescent="0.35">
      <c r="A35" s="2"/>
      <c r="B35" s="2">
        <v>1018</v>
      </c>
      <c r="C35" s="15">
        <f t="shared" si="3"/>
        <v>795.5</v>
      </c>
      <c r="D35" s="15">
        <f t="shared" si="1"/>
        <v>591.75</v>
      </c>
      <c r="E35" s="15">
        <v>4</v>
      </c>
      <c r="F35" s="15">
        <v>0</v>
      </c>
      <c r="G35" s="15" t="s">
        <v>813</v>
      </c>
      <c r="H35" s="15">
        <v>3182</v>
      </c>
      <c r="I35" s="15">
        <f t="shared" si="2"/>
        <v>2367</v>
      </c>
      <c r="J35" s="15">
        <v>2367</v>
      </c>
      <c r="K35" s="15">
        <v>0</v>
      </c>
      <c r="L35" s="15" t="s">
        <v>1332</v>
      </c>
      <c r="M35" s="15" t="s">
        <v>1342</v>
      </c>
      <c r="N35" s="233"/>
    </row>
    <row r="36" spans="1:14" ht="31.8" thickBot="1" x14ac:dyDescent="0.35">
      <c r="A36" s="2"/>
      <c r="B36" s="2">
        <v>1019</v>
      </c>
      <c r="C36" s="15">
        <f t="shared" si="3"/>
        <v>44</v>
      </c>
      <c r="D36" s="15">
        <f t="shared" si="1"/>
        <v>33</v>
      </c>
      <c r="E36" s="15">
        <v>1</v>
      </c>
      <c r="F36" s="15">
        <v>0</v>
      </c>
      <c r="G36" s="15" t="s">
        <v>813</v>
      </c>
      <c r="H36" s="15">
        <v>44</v>
      </c>
      <c r="I36" s="15">
        <f t="shared" si="2"/>
        <v>33</v>
      </c>
      <c r="J36" s="15">
        <v>33</v>
      </c>
      <c r="K36" s="15">
        <v>0</v>
      </c>
      <c r="L36" s="15" t="s">
        <v>1320</v>
      </c>
      <c r="M36" s="15" t="s">
        <v>1343</v>
      </c>
      <c r="N36" s="233"/>
    </row>
    <row r="37" spans="1:14" ht="16.2" thickBot="1" x14ac:dyDescent="0.35">
      <c r="A37" s="2"/>
      <c r="B37" s="2">
        <v>1029</v>
      </c>
      <c r="C37" s="15">
        <f t="shared" si="3"/>
        <v>62</v>
      </c>
      <c r="D37" s="15">
        <f t="shared" si="1"/>
        <v>31</v>
      </c>
      <c r="E37" s="15">
        <v>1</v>
      </c>
      <c r="F37" s="15">
        <v>0</v>
      </c>
      <c r="G37" s="15" t="s">
        <v>813</v>
      </c>
      <c r="H37" s="15">
        <v>62</v>
      </c>
      <c r="I37" s="15">
        <f t="shared" si="2"/>
        <v>31</v>
      </c>
      <c r="J37" s="15">
        <v>31</v>
      </c>
      <c r="K37" s="15">
        <v>0</v>
      </c>
      <c r="L37" s="15" t="s">
        <v>1320</v>
      </c>
      <c r="M37" s="15" t="s">
        <v>1344</v>
      </c>
      <c r="N37" s="233"/>
    </row>
    <row r="38" spans="1:14" ht="31.8" thickBot="1" x14ac:dyDescent="0.35">
      <c r="A38" s="2"/>
      <c r="B38" s="2">
        <v>1112</v>
      </c>
      <c r="C38" s="15">
        <f t="shared" si="3"/>
        <v>1061</v>
      </c>
      <c r="D38" s="15">
        <f t="shared" si="1"/>
        <v>697</v>
      </c>
      <c r="E38" s="15">
        <v>1</v>
      </c>
      <c r="F38" s="15">
        <v>0</v>
      </c>
      <c r="G38" s="15" t="s">
        <v>813</v>
      </c>
      <c r="H38" s="15">
        <v>1061</v>
      </c>
      <c r="I38" s="15">
        <f t="shared" si="2"/>
        <v>697</v>
      </c>
      <c r="J38" s="15">
        <v>697</v>
      </c>
      <c r="K38" s="15">
        <v>0</v>
      </c>
      <c r="L38" s="15" t="s">
        <v>1320</v>
      </c>
      <c r="M38" s="15" t="s">
        <v>1345</v>
      </c>
      <c r="N38" s="233"/>
    </row>
    <row r="39" spans="1:14" ht="16.2" thickBot="1" x14ac:dyDescent="0.35">
      <c r="A39" s="2"/>
      <c r="B39" s="2">
        <v>1136</v>
      </c>
      <c r="C39" s="15">
        <f t="shared" si="3"/>
        <v>1</v>
      </c>
      <c r="D39" s="15">
        <f t="shared" si="1"/>
        <v>1</v>
      </c>
      <c r="E39" s="15">
        <v>1</v>
      </c>
      <c r="F39" s="15">
        <v>1</v>
      </c>
      <c r="G39" s="15" t="s">
        <v>813</v>
      </c>
      <c r="H39" s="15">
        <v>1</v>
      </c>
      <c r="I39" s="15">
        <f t="shared" si="2"/>
        <v>1</v>
      </c>
      <c r="J39" s="15">
        <v>1</v>
      </c>
      <c r="K39" s="15">
        <v>0</v>
      </c>
      <c r="L39" s="15" t="s">
        <v>1322</v>
      </c>
      <c r="M39" s="15" t="s">
        <v>1346</v>
      </c>
      <c r="N39" s="233"/>
    </row>
    <row r="40" spans="1:14" ht="31.8" thickBot="1" x14ac:dyDescent="0.35">
      <c r="A40" s="2"/>
      <c r="B40" s="2">
        <v>1149</v>
      </c>
      <c r="C40" s="15">
        <f t="shared" si="3"/>
        <v>5</v>
      </c>
      <c r="D40" s="15">
        <f t="shared" si="1"/>
        <v>3</v>
      </c>
      <c r="E40" s="15">
        <v>1</v>
      </c>
      <c r="F40" s="15">
        <v>0</v>
      </c>
      <c r="G40" s="15" t="s">
        <v>813</v>
      </c>
      <c r="H40" s="15">
        <v>5</v>
      </c>
      <c r="I40" s="15">
        <f t="shared" si="2"/>
        <v>3</v>
      </c>
      <c r="J40" s="15">
        <v>3</v>
      </c>
      <c r="K40" s="15">
        <v>0</v>
      </c>
      <c r="L40" s="15" t="s">
        <v>1320</v>
      </c>
      <c r="M40" s="15" t="s">
        <v>1347</v>
      </c>
      <c r="N40" s="233"/>
    </row>
    <row r="41" spans="1:14" ht="16.2" thickBot="1" x14ac:dyDescent="0.35">
      <c r="A41" s="2"/>
      <c r="B41" s="2">
        <v>1063</v>
      </c>
      <c r="C41" s="15">
        <f t="shared" si="3"/>
        <v>29</v>
      </c>
      <c r="D41" s="15">
        <f t="shared" si="1"/>
        <v>27</v>
      </c>
      <c r="E41" s="15">
        <v>1</v>
      </c>
      <c r="F41" s="15">
        <v>0</v>
      </c>
      <c r="G41" s="15" t="s">
        <v>813</v>
      </c>
      <c r="H41" s="15">
        <v>29</v>
      </c>
      <c r="I41" s="15">
        <f t="shared" si="2"/>
        <v>27</v>
      </c>
      <c r="J41" s="15">
        <v>27</v>
      </c>
      <c r="K41" s="15">
        <v>0</v>
      </c>
      <c r="L41" s="15" t="s">
        <v>1320</v>
      </c>
      <c r="M41" s="15" t="s">
        <v>1348</v>
      </c>
      <c r="N41" s="233"/>
    </row>
    <row r="42" spans="1:14" ht="47.4" thickBot="1" x14ac:dyDescent="0.35">
      <c r="A42" s="2"/>
      <c r="B42" s="2">
        <v>1025</v>
      </c>
      <c r="C42" s="15">
        <f t="shared" si="3"/>
        <v>74.5</v>
      </c>
      <c r="D42" s="15">
        <f t="shared" si="1"/>
        <v>13.5</v>
      </c>
      <c r="E42" s="15">
        <v>2</v>
      </c>
      <c r="F42" s="15">
        <v>0</v>
      </c>
      <c r="G42" s="15" t="s">
        <v>813</v>
      </c>
      <c r="H42" s="15">
        <v>149</v>
      </c>
      <c r="I42" s="15">
        <f t="shared" si="2"/>
        <v>27</v>
      </c>
      <c r="J42" s="15">
        <v>26</v>
      </c>
      <c r="K42" s="15">
        <v>1</v>
      </c>
      <c r="L42" s="15" t="s">
        <v>1324</v>
      </c>
      <c r="M42" s="15" t="s">
        <v>1349</v>
      </c>
      <c r="N42" s="233"/>
    </row>
    <row r="43" spans="1:14" ht="63" thickBot="1" x14ac:dyDescent="0.35">
      <c r="A43" s="2"/>
      <c r="B43" s="2">
        <v>1047</v>
      </c>
      <c r="C43" s="266">
        <f t="shared" si="3"/>
        <v>1630.3333333333333</v>
      </c>
      <c r="D43" s="266">
        <f>I43/E43</f>
        <v>1787.3333333333333</v>
      </c>
      <c r="E43" s="15">
        <v>3</v>
      </c>
      <c r="F43" s="15">
        <v>0</v>
      </c>
      <c r="G43" s="15" t="s">
        <v>813</v>
      </c>
      <c r="H43" s="15">
        <v>4891</v>
      </c>
      <c r="I43" s="15">
        <f t="shared" si="2"/>
        <v>5362</v>
      </c>
      <c r="J43" s="15">
        <v>5362</v>
      </c>
      <c r="K43" s="15">
        <v>0</v>
      </c>
      <c r="L43" s="15" t="s">
        <v>1324</v>
      </c>
      <c r="M43" s="15" t="s">
        <v>1350</v>
      </c>
      <c r="N43" s="233"/>
    </row>
    <row r="44" spans="1:14" ht="63" thickBot="1" x14ac:dyDescent="0.35">
      <c r="A44" s="2"/>
      <c r="B44" s="2">
        <v>1051</v>
      </c>
      <c r="C44" s="15">
        <f t="shared" si="3"/>
        <v>438</v>
      </c>
      <c r="D44" s="15">
        <f t="shared" si="1"/>
        <v>307</v>
      </c>
      <c r="E44" s="15">
        <v>1</v>
      </c>
      <c r="F44" s="15">
        <v>0</v>
      </c>
      <c r="G44" s="15" t="s">
        <v>813</v>
      </c>
      <c r="H44" s="15">
        <v>438</v>
      </c>
      <c r="I44" s="15">
        <f>SUM(J44, K44)</f>
        <v>307</v>
      </c>
      <c r="J44" s="15">
        <v>307</v>
      </c>
      <c r="K44" s="15">
        <v>0</v>
      </c>
      <c r="L44" s="15" t="s">
        <v>1329</v>
      </c>
      <c r="M44" s="15" t="s">
        <v>1351</v>
      </c>
      <c r="N44" s="233"/>
    </row>
    <row r="45" spans="1:14" ht="16.2" thickBot="1" x14ac:dyDescent="0.35">
      <c r="A45" s="2"/>
      <c r="B45" s="2">
        <v>1057</v>
      </c>
      <c r="C45" s="15">
        <f t="shared" si="3"/>
        <v>85</v>
      </c>
      <c r="D45" s="15">
        <f t="shared" si="1"/>
        <v>180</v>
      </c>
      <c r="E45" s="15">
        <v>1</v>
      </c>
      <c r="F45" s="15">
        <v>0</v>
      </c>
      <c r="G45" s="15" t="s">
        <v>813</v>
      </c>
      <c r="H45" s="15">
        <v>85</v>
      </c>
      <c r="I45" s="15">
        <f t="shared" si="2"/>
        <v>180</v>
      </c>
      <c r="J45" s="15">
        <v>180</v>
      </c>
      <c r="K45" s="15">
        <v>0</v>
      </c>
      <c r="L45" s="15" t="s">
        <v>1324</v>
      </c>
      <c r="M45" s="15">
        <v>6073009400</v>
      </c>
      <c r="N45" s="233"/>
    </row>
    <row r="46" spans="1:14" ht="31.8" thickBot="1" x14ac:dyDescent="0.35">
      <c r="A46" s="2"/>
      <c r="B46" s="2">
        <v>1059</v>
      </c>
      <c r="C46" s="15">
        <f t="shared" si="3"/>
        <v>9</v>
      </c>
      <c r="D46" s="15">
        <f t="shared" si="1"/>
        <v>6</v>
      </c>
      <c r="E46" s="15">
        <v>2</v>
      </c>
      <c r="F46" s="15">
        <v>0</v>
      </c>
      <c r="G46" s="15" t="s">
        <v>813</v>
      </c>
      <c r="H46" s="15">
        <v>18</v>
      </c>
      <c r="I46" s="15">
        <f t="shared" si="2"/>
        <v>12</v>
      </c>
      <c r="J46" s="15">
        <v>12</v>
      </c>
      <c r="K46" s="15">
        <v>0</v>
      </c>
      <c r="L46" s="15" t="s">
        <v>1320</v>
      </c>
      <c r="M46" s="15" t="s">
        <v>1343</v>
      </c>
      <c r="N46" s="233"/>
    </row>
    <row r="47" spans="1:14" ht="31.8" thickBot="1" x14ac:dyDescent="0.35">
      <c r="A47" s="2"/>
      <c r="B47" s="2">
        <v>1064</v>
      </c>
      <c r="C47" s="15">
        <f t="shared" si="3"/>
        <v>18</v>
      </c>
      <c r="D47" s="15">
        <f t="shared" si="1"/>
        <v>5</v>
      </c>
      <c r="E47" s="15">
        <v>1</v>
      </c>
      <c r="F47" s="15">
        <v>0</v>
      </c>
      <c r="G47" s="15" t="s">
        <v>813</v>
      </c>
      <c r="H47" s="15">
        <v>18</v>
      </c>
      <c r="I47" s="15">
        <f t="shared" si="2"/>
        <v>5</v>
      </c>
      <c r="J47" s="15">
        <v>5</v>
      </c>
      <c r="K47" s="15">
        <v>0</v>
      </c>
      <c r="L47" s="15" t="s">
        <v>1324</v>
      </c>
      <c r="M47" s="15" t="s">
        <v>1352</v>
      </c>
      <c r="N47" s="233"/>
    </row>
    <row r="48" spans="1:14" ht="16.2" thickBot="1" x14ac:dyDescent="0.35">
      <c r="A48" s="2"/>
      <c r="B48" s="2">
        <v>1043</v>
      </c>
      <c r="C48" s="15">
        <f t="shared" si="3"/>
        <v>213</v>
      </c>
      <c r="D48" s="15">
        <f t="shared" si="1"/>
        <v>211</v>
      </c>
      <c r="E48" s="15">
        <v>1</v>
      </c>
      <c r="F48" s="15">
        <v>0</v>
      </c>
      <c r="G48" s="15" t="s">
        <v>813</v>
      </c>
      <c r="H48" s="15">
        <v>213</v>
      </c>
      <c r="I48" s="15">
        <f t="shared" si="2"/>
        <v>211</v>
      </c>
      <c r="J48" s="15">
        <v>211</v>
      </c>
      <c r="K48" s="15">
        <v>0</v>
      </c>
      <c r="L48" s="15" t="s">
        <v>1322</v>
      </c>
      <c r="M48" s="15" t="s">
        <v>1353</v>
      </c>
      <c r="N48" s="233"/>
    </row>
    <row r="49" spans="1:14" ht="16.2" thickBot="1" x14ac:dyDescent="0.35">
      <c r="A49" s="2"/>
      <c r="B49" s="2">
        <v>1081</v>
      </c>
      <c r="C49" s="15">
        <f t="shared" si="3"/>
        <v>28</v>
      </c>
      <c r="D49" s="15">
        <f t="shared" si="1"/>
        <v>17</v>
      </c>
      <c r="E49" s="15">
        <v>1</v>
      </c>
      <c r="F49" s="15">
        <v>0</v>
      </c>
      <c r="G49" s="15" t="s">
        <v>813</v>
      </c>
      <c r="H49" s="15">
        <v>28</v>
      </c>
      <c r="I49" s="15">
        <f t="shared" si="2"/>
        <v>17</v>
      </c>
      <c r="J49" s="15">
        <v>17</v>
      </c>
      <c r="K49" s="15">
        <v>0</v>
      </c>
      <c r="L49" s="15" t="s">
        <v>1320</v>
      </c>
      <c r="M49" s="15" t="s">
        <v>1344</v>
      </c>
      <c r="N49" s="233"/>
    </row>
    <row r="50" spans="1:14" ht="16.2" thickBot="1" x14ac:dyDescent="0.35">
      <c r="A50" s="2"/>
      <c r="B50" s="2">
        <v>1097</v>
      </c>
      <c r="C50" s="15">
        <f t="shared" si="3"/>
        <v>3</v>
      </c>
      <c r="D50" s="15">
        <f t="shared" si="1"/>
        <v>0</v>
      </c>
      <c r="E50" s="15">
        <v>1</v>
      </c>
      <c r="F50" s="15">
        <v>0</v>
      </c>
      <c r="G50" s="15" t="s">
        <v>813</v>
      </c>
      <c r="H50" s="15">
        <v>3</v>
      </c>
      <c r="I50" s="15">
        <f t="shared" si="2"/>
        <v>0</v>
      </c>
      <c r="J50" s="15">
        <v>0</v>
      </c>
      <c r="K50" s="15">
        <v>0</v>
      </c>
      <c r="L50" s="15" t="s">
        <v>1332</v>
      </c>
      <c r="M50" s="15" t="s">
        <v>1354</v>
      </c>
      <c r="N50" s="233"/>
    </row>
    <row r="51" spans="1:14" ht="16.2" thickBot="1" x14ac:dyDescent="0.35">
      <c r="A51" s="2"/>
      <c r="B51" s="2">
        <v>1132</v>
      </c>
      <c r="C51" s="15">
        <f t="shared" si="3"/>
        <v>2</v>
      </c>
      <c r="D51" s="15">
        <f t="shared" si="1"/>
        <v>0</v>
      </c>
      <c r="E51" s="15">
        <v>1</v>
      </c>
      <c r="F51" s="15">
        <v>0</v>
      </c>
      <c r="G51" s="15" t="s">
        <v>813</v>
      </c>
      <c r="H51" s="15">
        <v>2</v>
      </c>
      <c r="I51" s="15">
        <f t="shared" si="2"/>
        <v>0</v>
      </c>
      <c r="J51" s="15">
        <v>0</v>
      </c>
      <c r="K51" s="15">
        <v>0</v>
      </c>
      <c r="L51" s="15" t="s">
        <v>1329</v>
      </c>
      <c r="M51" s="15" t="s">
        <v>1333</v>
      </c>
      <c r="N51" s="233"/>
    </row>
    <row r="52" spans="1:14" ht="343.8" thickBot="1" x14ac:dyDescent="0.35">
      <c r="A52" s="2"/>
      <c r="B52" s="2">
        <v>1156</v>
      </c>
      <c r="C52" s="15">
        <f>H52/E52</f>
        <v>5168</v>
      </c>
      <c r="D52" s="15">
        <f t="shared" si="1"/>
        <v>6520.6</v>
      </c>
      <c r="E52" s="15">
        <v>5</v>
      </c>
      <c r="F52" s="15">
        <v>0</v>
      </c>
      <c r="G52" s="15" t="s">
        <v>813</v>
      </c>
      <c r="H52" s="15">
        <v>25840</v>
      </c>
      <c r="I52" s="15">
        <f t="shared" si="2"/>
        <v>32603</v>
      </c>
      <c r="J52" s="15">
        <v>32603</v>
      </c>
      <c r="K52" s="15">
        <v>0</v>
      </c>
      <c r="L52" s="15" t="s">
        <v>1324</v>
      </c>
      <c r="M52" s="15" t="s">
        <v>1355</v>
      </c>
      <c r="N52" s="233"/>
    </row>
    <row r="53" spans="1:14" ht="31.8" thickBot="1" x14ac:dyDescent="0.35">
      <c r="A53" s="2"/>
      <c r="B53" s="2">
        <v>1022</v>
      </c>
      <c r="C53" s="15">
        <f t="shared" si="3"/>
        <v>1</v>
      </c>
      <c r="D53" s="15">
        <f t="shared" si="1"/>
        <v>0</v>
      </c>
      <c r="E53" s="15">
        <v>1</v>
      </c>
      <c r="F53" s="15">
        <v>0</v>
      </c>
      <c r="G53" s="15" t="s">
        <v>813</v>
      </c>
      <c r="H53" s="15">
        <v>1</v>
      </c>
      <c r="I53" s="15">
        <f t="shared" si="2"/>
        <v>0</v>
      </c>
      <c r="J53" s="15">
        <v>0</v>
      </c>
      <c r="K53" s="15">
        <v>0</v>
      </c>
      <c r="L53" s="15" t="s">
        <v>1329</v>
      </c>
      <c r="M53" s="15" t="s">
        <v>1356</v>
      </c>
      <c r="N53" s="233"/>
    </row>
    <row r="54" spans="1:14" ht="16.2" thickBot="1" x14ac:dyDescent="0.35">
      <c r="A54" s="2"/>
      <c r="B54" s="2">
        <v>1009</v>
      </c>
      <c r="C54" s="15">
        <f t="shared" si="3"/>
        <v>5</v>
      </c>
      <c r="D54" s="15">
        <f t="shared" si="1"/>
        <v>1</v>
      </c>
      <c r="E54" s="15">
        <v>1</v>
      </c>
      <c r="F54" s="15">
        <v>0</v>
      </c>
      <c r="G54" s="15" t="s">
        <v>813</v>
      </c>
      <c r="H54" s="15">
        <v>5</v>
      </c>
      <c r="I54" s="15">
        <f t="shared" si="2"/>
        <v>1</v>
      </c>
      <c r="J54" s="15">
        <v>1</v>
      </c>
      <c r="K54" s="15">
        <v>0</v>
      </c>
      <c r="L54" s="15" t="s">
        <v>1320</v>
      </c>
      <c r="M54" s="15">
        <v>6073018801</v>
      </c>
      <c r="N54" s="233"/>
    </row>
    <row r="55" spans="1:14" ht="16.2" thickBot="1" x14ac:dyDescent="0.35">
      <c r="A55" s="2"/>
      <c r="B55" s="2">
        <v>1014</v>
      </c>
      <c r="C55" s="15">
        <f t="shared" si="3"/>
        <v>181</v>
      </c>
      <c r="D55" s="15">
        <f t="shared" si="1"/>
        <v>177</v>
      </c>
      <c r="E55" s="15">
        <v>1</v>
      </c>
      <c r="F55" s="15">
        <v>0</v>
      </c>
      <c r="G55" s="15" t="s">
        <v>813</v>
      </c>
      <c r="H55" s="15">
        <v>181</v>
      </c>
      <c r="I55" s="15">
        <f t="shared" si="2"/>
        <v>177</v>
      </c>
      <c r="J55" s="15">
        <v>177</v>
      </c>
      <c r="K55" s="15">
        <v>0</v>
      </c>
      <c r="L55" s="15" t="s">
        <v>1329</v>
      </c>
      <c r="M55" s="15">
        <v>6073018700</v>
      </c>
      <c r="N55" s="233"/>
    </row>
    <row r="56" spans="1:14" ht="16.2" thickBot="1" x14ac:dyDescent="0.35">
      <c r="A56" s="2"/>
      <c r="B56" s="2">
        <v>1034</v>
      </c>
      <c r="C56" s="15">
        <f t="shared" si="3"/>
        <v>34</v>
      </c>
      <c r="D56" s="15">
        <f t="shared" si="1"/>
        <v>22</v>
      </c>
      <c r="E56" s="15">
        <v>1</v>
      </c>
      <c r="F56" s="15">
        <v>0</v>
      </c>
      <c r="G56" s="15" t="s">
        <v>813</v>
      </c>
      <c r="H56" s="15">
        <v>34</v>
      </c>
      <c r="I56" s="15">
        <f t="shared" si="2"/>
        <v>22</v>
      </c>
      <c r="J56" s="15">
        <v>22</v>
      </c>
      <c r="K56" s="15">
        <v>0</v>
      </c>
      <c r="L56" s="15" t="s">
        <v>1320</v>
      </c>
      <c r="M56" s="15" t="s">
        <v>1357</v>
      </c>
      <c r="N56" s="233"/>
    </row>
    <row r="57" spans="1:14" ht="16.2" thickBot="1" x14ac:dyDescent="0.35">
      <c r="A57" s="2"/>
      <c r="B57" s="2">
        <v>1066</v>
      </c>
      <c r="C57" s="15">
        <f>H57/E57</f>
        <v>191</v>
      </c>
      <c r="D57" s="15">
        <f>I57/E57</f>
        <v>359</v>
      </c>
      <c r="E57" s="15">
        <v>2</v>
      </c>
      <c r="F57" s="15">
        <v>0</v>
      </c>
      <c r="G57" s="15" t="s">
        <v>813</v>
      </c>
      <c r="H57" s="15">
        <v>382</v>
      </c>
      <c r="I57" s="15">
        <f t="shared" si="2"/>
        <v>718</v>
      </c>
      <c r="J57" s="15">
        <v>718</v>
      </c>
      <c r="K57" s="15">
        <v>0</v>
      </c>
      <c r="L57" s="15" t="s">
        <v>1329</v>
      </c>
      <c r="M57" s="15" t="s">
        <v>1358</v>
      </c>
      <c r="N57" s="233"/>
    </row>
    <row r="58" spans="1:14" ht="31.8" thickBot="1" x14ac:dyDescent="0.35">
      <c r="A58" s="2"/>
      <c r="B58" s="2">
        <v>1071</v>
      </c>
      <c r="C58" s="15">
        <f t="shared" si="3"/>
        <v>9</v>
      </c>
      <c r="D58" s="15">
        <f t="shared" si="1"/>
        <v>4.5</v>
      </c>
      <c r="E58" s="15">
        <v>2</v>
      </c>
      <c r="F58" s="15">
        <v>0</v>
      </c>
      <c r="G58" s="15" t="s">
        <v>813</v>
      </c>
      <c r="H58" s="15">
        <v>18</v>
      </c>
      <c r="I58" s="15">
        <f t="shared" si="2"/>
        <v>9</v>
      </c>
      <c r="J58" s="15">
        <v>9</v>
      </c>
      <c r="K58" s="15">
        <v>0</v>
      </c>
      <c r="L58" s="15" t="s">
        <v>1320</v>
      </c>
      <c r="M58" s="15" t="s">
        <v>1359</v>
      </c>
      <c r="N58" s="233"/>
    </row>
    <row r="59" spans="1:14" ht="16.2" thickBot="1" x14ac:dyDescent="0.35">
      <c r="A59" s="2"/>
      <c r="B59" s="2">
        <v>1082</v>
      </c>
      <c r="C59" s="15">
        <f t="shared" si="3"/>
        <v>5</v>
      </c>
      <c r="D59" s="15">
        <f t="shared" si="1"/>
        <v>5</v>
      </c>
      <c r="E59" s="15">
        <v>1</v>
      </c>
      <c r="F59" s="15">
        <v>0</v>
      </c>
      <c r="G59" s="15" t="s">
        <v>813</v>
      </c>
      <c r="H59" s="15">
        <v>5</v>
      </c>
      <c r="I59" s="15">
        <f t="shared" si="2"/>
        <v>5</v>
      </c>
      <c r="J59" s="15">
        <v>5</v>
      </c>
      <c r="K59" s="15">
        <v>0</v>
      </c>
      <c r="L59" s="15" t="s">
        <v>1320</v>
      </c>
      <c r="M59" s="15" t="s">
        <v>1344</v>
      </c>
      <c r="N59" s="233"/>
    </row>
    <row r="60" spans="1:14" ht="16.2" thickBot="1" x14ac:dyDescent="0.35">
      <c r="A60" s="2"/>
      <c r="B60" s="2">
        <v>1086</v>
      </c>
      <c r="C60" s="15">
        <f t="shared" si="3"/>
        <v>1</v>
      </c>
      <c r="D60" s="15">
        <f t="shared" si="1"/>
        <v>1</v>
      </c>
      <c r="E60" s="15">
        <v>1</v>
      </c>
      <c r="F60" s="15">
        <v>0</v>
      </c>
      <c r="G60" s="15" t="s">
        <v>813</v>
      </c>
      <c r="H60" s="15">
        <v>1</v>
      </c>
      <c r="I60" s="15">
        <f t="shared" si="2"/>
        <v>1</v>
      </c>
      <c r="J60" s="15">
        <v>1</v>
      </c>
      <c r="K60" s="15">
        <v>0</v>
      </c>
      <c r="L60" s="15" t="s">
        <v>1320</v>
      </c>
      <c r="M60" s="15" t="s">
        <v>1360</v>
      </c>
      <c r="N60" s="233"/>
    </row>
    <row r="61" spans="1:14" ht="63" thickBot="1" x14ac:dyDescent="0.35">
      <c r="A61" s="2"/>
      <c r="B61" s="2">
        <v>1089</v>
      </c>
      <c r="C61" s="15">
        <f t="shared" si="3"/>
        <v>1773</v>
      </c>
      <c r="D61" s="15">
        <f t="shared" si="1"/>
        <v>1708</v>
      </c>
      <c r="E61" s="15">
        <v>1</v>
      </c>
      <c r="F61" s="15">
        <v>0</v>
      </c>
      <c r="G61" s="15" t="s">
        <v>813</v>
      </c>
      <c r="H61" s="15">
        <v>1773</v>
      </c>
      <c r="I61" s="15">
        <f t="shared" si="2"/>
        <v>1708</v>
      </c>
      <c r="J61" s="15">
        <v>1708</v>
      </c>
      <c r="K61" s="15">
        <v>0</v>
      </c>
      <c r="L61" s="15" t="s">
        <v>1332</v>
      </c>
      <c r="M61" s="15" t="s">
        <v>1361</v>
      </c>
      <c r="N61" s="233"/>
    </row>
    <row r="62" spans="1:14" ht="16.2" thickBot="1" x14ac:dyDescent="0.35">
      <c r="A62" s="2"/>
      <c r="B62" s="2">
        <v>1090</v>
      </c>
      <c r="C62" s="15">
        <f t="shared" si="3"/>
        <v>1</v>
      </c>
      <c r="D62" s="15">
        <f t="shared" si="1"/>
        <v>0</v>
      </c>
      <c r="E62" s="15">
        <v>1</v>
      </c>
      <c r="F62" s="15">
        <v>0</v>
      </c>
      <c r="G62" s="15" t="s">
        <v>813</v>
      </c>
      <c r="H62" s="15">
        <v>1</v>
      </c>
      <c r="I62" s="15">
        <f t="shared" si="2"/>
        <v>0</v>
      </c>
      <c r="J62" s="15">
        <v>0</v>
      </c>
      <c r="K62" s="15">
        <v>0</v>
      </c>
      <c r="L62" s="15" t="s">
        <v>1322</v>
      </c>
      <c r="M62" s="15" t="s">
        <v>1333</v>
      </c>
      <c r="N62" s="233"/>
    </row>
    <row r="63" spans="1:14" ht="16.2" thickBot="1" x14ac:dyDescent="0.35">
      <c r="A63" s="2"/>
      <c r="B63" s="2">
        <v>1092</v>
      </c>
      <c r="C63" s="15">
        <f t="shared" si="3"/>
        <v>1</v>
      </c>
      <c r="D63" s="15">
        <f t="shared" si="1"/>
        <v>1</v>
      </c>
      <c r="E63" s="15">
        <v>1</v>
      </c>
      <c r="F63" s="15">
        <v>0</v>
      </c>
      <c r="G63" s="15" t="s">
        <v>813</v>
      </c>
      <c r="H63" s="15">
        <v>1</v>
      </c>
      <c r="I63" s="15">
        <f t="shared" si="2"/>
        <v>1</v>
      </c>
      <c r="J63" s="15">
        <v>1</v>
      </c>
      <c r="K63" s="15">
        <v>0</v>
      </c>
      <c r="L63" s="15" t="s">
        <v>1320</v>
      </c>
      <c r="M63" s="15" t="s">
        <v>1344</v>
      </c>
      <c r="N63" s="233"/>
    </row>
    <row r="64" spans="1:14" ht="16.2" thickBot="1" x14ac:dyDescent="0.35">
      <c r="A64" s="2"/>
      <c r="B64" s="2">
        <v>1104</v>
      </c>
      <c r="C64" s="15">
        <f t="shared" si="3"/>
        <v>1</v>
      </c>
      <c r="D64" s="15">
        <f t="shared" si="1"/>
        <v>1</v>
      </c>
      <c r="E64" s="15">
        <v>1</v>
      </c>
      <c r="F64" s="15">
        <v>0</v>
      </c>
      <c r="G64" s="15" t="s">
        <v>813</v>
      </c>
      <c r="H64" s="15">
        <v>1</v>
      </c>
      <c r="I64" s="15">
        <f t="shared" si="2"/>
        <v>1</v>
      </c>
      <c r="J64" s="15">
        <v>1</v>
      </c>
      <c r="K64" s="15">
        <v>0</v>
      </c>
      <c r="L64" s="15" t="s">
        <v>1320</v>
      </c>
      <c r="M64" s="15" t="s">
        <v>1338</v>
      </c>
      <c r="N64" s="233"/>
    </row>
    <row r="65" spans="1:14" ht="16.2" thickBot="1" x14ac:dyDescent="0.35">
      <c r="A65" s="2"/>
      <c r="B65" s="2">
        <v>1105</v>
      </c>
      <c r="C65" s="15">
        <f t="shared" si="3"/>
        <v>3</v>
      </c>
      <c r="D65" s="15">
        <f t="shared" si="1"/>
        <v>0</v>
      </c>
      <c r="E65" s="15">
        <v>1</v>
      </c>
      <c r="F65" s="15">
        <v>0</v>
      </c>
      <c r="G65" s="15" t="s">
        <v>813</v>
      </c>
      <c r="H65" s="15">
        <v>3</v>
      </c>
      <c r="I65" s="15">
        <f t="shared" si="2"/>
        <v>0</v>
      </c>
      <c r="J65" s="15">
        <v>0</v>
      </c>
      <c r="K65" s="15">
        <v>0</v>
      </c>
      <c r="L65" s="15" t="s">
        <v>1320</v>
      </c>
      <c r="M65" s="15" t="s">
        <v>1357</v>
      </c>
      <c r="N65" s="233"/>
    </row>
    <row r="66" spans="1:14" ht="16.2" thickBot="1" x14ac:dyDescent="0.35">
      <c r="A66" s="2"/>
      <c r="B66" s="2">
        <v>1121</v>
      </c>
      <c r="C66" s="15">
        <f t="shared" si="3"/>
        <v>2</v>
      </c>
      <c r="D66" s="15">
        <f t="shared" si="1"/>
        <v>0</v>
      </c>
      <c r="E66" s="15">
        <v>1</v>
      </c>
      <c r="F66" s="15">
        <v>0</v>
      </c>
      <c r="G66" s="15" t="s">
        <v>813</v>
      </c>
      <c r="H66" s="15">
        <v>2</v>
      </c>
      <c r="I66" s="15">
        <f t="shared" si="2"/>
        <v>0</v>
      </c>
      <c r="J66" s="15">
        <v>0</v>
      </c>
      <c r="K66" s="15">
        <v>0</v>
      </c>
      <c r="L66" s="15" t="s">
        <v>1320</v>
      </c>
      <c r="M66" s="15" t="s">
        <v>1362</v>
      </c>
      <c r="N66" s="233"/>
    </row>
    <row r="67" spans="1:14" ht="16.2" thickBot="1" x14ac:dyDescent="0.35">
      <c r="A67" s="2"/>
      <c r="B67" s="2">
        <v>1125</v>
      </c>
      <c r="C67" s="15">
        <f t="shared" si="3"/>
        <v>5</v>
      </c>
      <c r="D67" s="15">
        <f t="shared" si="1"/>
        <v>2</v>
      </c>
      <c r="E67" s="15">
        <v>1</v>
      </c>
      <c r="F67" s="15">
        <v>0</v>
      </c>
      <c r="G67" s="15" t="s">
        <v>813</v>
      </c>
      <c r="H67" s="15">
        <v>5</v>
      </c>
      <c r="I67" s="15">
        <f t="shared" si="2"/>
        <v>2</v>
      </c>
      <c r="J67" s="15">
        <v>2</v>
      </c>
      <c r="K67" s="15">
        <v>0</v>
      </c>
      <c r="L67" s="15" t="s">
        <v>1320</v>
      </c>
      <c r="M67" s="15" t="s">
        <v>1363</v>
      </c>
      <c r="N67" s="233"/>
    </row>
    <row r="68" spans="1:14" ht="16.2" thickBot="1" x14ac:dyDescent="0.35">
      <c r="A68" s="2"/>
      <c r="B68" s="2">
        <v>1127</v>
      </c>
      <c r="C68" s="15">
        <f t="shared" si="3"/>
        <v>230</v>
      </c>
      <c r="D68" s="15">
        <f t="shared" si="1"/>
        <v>222</v>
      </c>
      <c r="E68" s="15">
        <v>1</v>
      </c>
      <c r="F68" s="15">
        <v>0</v>
      </c>
      <c r="G68" s="15" t="s">
        <v>813</v>
      </c>
      <c r="H68" s="15">
        <v>230</v>
      </c>
      <c r="I68" s="15">
        <f t="shared" si="2"/>
        <v>222</v>
      </c>
      <c r="J68" s="15">
        <v>222</v>
      </c>
      <c r="K68" s="15">
        <v>0</v>
      </c>
      <c r="L68" s="15" t="s">
        <v>1329</v>
      </c>
      <c r="M68" s="15" t="s">
        <v>1358</v>
      </c>
      <c r="N68" s="233"/>
    </row>
    <row r="69" spans="1:14" ht="16.2" thickBot="1" x14ac:dyDescent="0.35">
      <c r="A69" s="2"/>
      <c r="B69" s="2">
        <v>1133</v>
      </c>
      <c r="C69" s="15">
        <f t="shared" si="3"/>
        <v>1</v>
      </c>
      <c r="D69" s="15">
        <f t="shared" si="1"/>
        <v>0</v>
      </c>
      <c r="E69" s="15">
        <v>1</v>
      </c>
      <c r="F69" s="15">
        <v>0</v>
      </c>
      <c r="G69" s="15" t="s">
        <v>813</v>
      </c>
      <c r="H69" s="15">
        <v>1</v>
      </c>
      <c r="I69" s="15">
        <f t="shared" si="2"/>
        <v>0</v>
      </c>
      <c r="J69" s="15">
        <v>0</v>
      </c>
      <c r="K69" s="15">
        <v>0</v>
      </c>
      <c r="L69" s="15" t="s">
        <v>1364</v>
      </c>
      <c r="M69" s="15" t="s">
        <v>1333</v>
      </c>
      <c r="N69" s="233"/>
    </row>
    <row r="70" spans="1:14" ht="16.2" thickBot="1" x14ac:dyDescent="0.35">
      <c r="A70" s="2"/>
      <c r="B70" s="2">
        <v>1135</v>
      </c>
      <c r="C70" s="15">
        <f t="shared" si="3"/>
        <v>1</v>
      </c>
      <c r="D70" s="15">
        <f t="shared" si="1"/>
        <v>0</v>
      </c>
      <c r="E70" s="15">
        <v>1</v>
      </c>
      <c r="F70" s="15">
        <v>0</v>
      </c>
      <c r="G70" s="15" t="s">
        <v>813</v>
      </c>
      <c r="H70" s="15">
        <v>1</v>
      </c>
      <c r="I70" s="15">
        <f t="shared" si="2"/>
        <v>0</v>
      </c>
      <c r="J70" s="15">
        <v>0</v>
      </c>
      <c r="K70" s="15">
        <v>0</v>
      </c>
      <c r="L70" s="15" t="s">
        <v>1364</v>
      </c>
      <c r="M70" s="15" t="s">
        <v>1333</v>
      </c>
      <c r="N70" s="233"/>
    </row>
    <row r="71" spans="1:14" ht="16.2" thickBot="1" x14ac:dyDescent="0.35">
      <c r="A71" s="2"/>
      <c r="B71" s="2">
        <v>1150</v>
      </c>
      <c r="C71" s="15">
        <f t="shared" si="3"/>
        <v>1</v>
      </c>
      <c r="D71" s="15">
        <f t="shared" si="1"/>
        <v>1</v>
      </c>
      <c r="E71" s="15">
        <v>1</v>
      </c>
      <c r="F71" s="15">
        <v>0</v>
      </c>
      <c r="G71" s="15" t="s">
        <v>813</v>
      </c>
      <c r="H71" s="15">
        <v>1</v>
      </c>
      <c r="I71" s="15">
        <f t="shared" si="2"/>
        <v>1</v>
      </c>
      <c r="J71" s="15">
        <v>1</v>
      </c>
      <c r="K71" s="15">
        <v>0</v>
      </c>
      <c r="L71" s="15" t="s">
        <v>1320</v>
      </c>
      <c r="M71" s="15" t="e">
        <v>#N/A</v>
      </c>
      <c r="N71" s="233"/>
    </row>
    <row r="72" spans="1:14" ht="16.2" thickBot="1" x14ac:dyDescent="0.35">
      <c r="A72" s="2"/>
      <c r="B72" s="2">
        <v>9995</v>
      </c>
      <c r="C72" s="15">
        <f t="shared" si="3"/>
        <v>0.5</v>
      </c>
      <c r="D72" s="15">
        <f t="shared" si="1"/>
        <v>0</v>
      </c>
      <c r="E72" s="15">
        <v>2</v>
      </c>
      <c r="F72" s="15">
        <v>0</v>
      </c>
      <c r="G72" s="15" t="s">
        <v>813</v>
      </c>
      <c r="H72" s="15">
        <v>1</v>
      </c>
      <c r="I72" s="15">
        <f t="shared" si="2"/>
        <v>0</v>
      </c>
      <c r="J72" s="15"/>
      <c r="K72" s="15"/>
      <c r="L72" s="15" t="s">
        <v>1364</v>
      </c>
      <c r="M72" s="15" t="s">
        <v>1333</v>
      </c>
      <c r="N72" s="233"/>
    </row>
    <row r="73" spans="1:14" ht="16.2" thickBot="1" x14ac:dyDescent="0.35">
      <c r="A73" s="2"/>
      <c r="B73" s="2">
        <v>1067</v>
      </c>
      <c r="C73" s="15">
        <f t="shared" si="3"/>
        <v>2</v>
      </c>
      <c r="D73" s="15">
        <f t="shared" ref="D73:D98" si="4">I73/E73</f>
        <v>0</v>
      </c>
      <c r="E73" s="15">
        <v>1</v>
      </c>
      <c r="F73" s="15">
        <v>0</v>
      </c>
      <c r="G73" s="15" t="s">
        <v>813</v>
      </c>
      <c r="H73" s="15">
        <v>2</v>
      </c>
      <c r="I73" s="15">
        <f t="shared" ref="I73:I98" si="5">SUM(J73, K73)</f>
        <v>0</v>
      </c>
      <c r="J73" s="15">
        <v>0</v>
      </c>
      <c r="K73" s="15">
        <v>0</v>
      </c>
      <c r="L73" s="15" t="s">
        <v>1332</v>
      </c>
      <c r="M73" s="15" t="s">
        <v>1365</v>
      </c>
      <c r="N73" s="233"/>
    </row>
    <row r="74" spans="1:14" ht="31.8" thickBot="1" x14ac:dyDescent="0.35">
      <c r="A74" s="2"/>
      <c r="B74" s="2">
        <v>1068</v>
      </c>
      <c r="C74" s="15">
        <f t="shared" si="3"/>
        <v>4.5</v>
      </c>
      <c r="D74" s="15">
        <f t="shared" si="4"/>
        <v>3.5</v>
      </c>
      <c r="E74" s="15">
        <v>2</v>
      </c>
      <c r="F74" s="15">
        <v>0</v>
      </c>
      <c r="G74" s="15" t="s">
        <v>813</v>
      </c>
      <c r="H74" s="15">
        <v>9</v>
      </c>
      <c r="I74" s="15">
        <f t="shared" si="5"/>
        <v>7</v>
      </c>
      <c r="J74" s="15">
        <v>7</v>
      </c>
      <c r="K74" s="15">
        <v>0</v>
      </c>
      <c r="L74" s="15" t="s">
        <v>1320</v>
      </c>
      <c r="M74" s="15" t="s">
        <v>1359</v>
      </c>
      <c r="N74" s="233"/>
    </row>
    <row r="75" spans="1:14" ht="16.2" thickBot="1" x14ac:dyDescent="0.35">
      <c r="A75" s="2"/>
      <c r="B75" s="2">
        <v>1079</v>
      </c>
      <c r="C75" s="15">
        <f t="shared" si="3"/>
        <v>8</v>
      </c>
      <c r="D75" s="15">
        <f t="shared" si="4"/>
        <v>5</v>
      </c>
      <c r="E75" s="15">
        <v>1</v>
      </c>
      <c r="F75" s="15">
        <v>0</v>
      </c>
      <c r="G75" s="15" t="s">
        <v>813</v>
      </c>
      <c r="H75" s="15">
        <v>8</v>
      </c>
      <c r="I75" s="15">
        <f t="shared" si="5"/>
        <v>5</v>
      </c>
      <c r="J75" s="15">
        <v>5</v>
      </c>
      <c r="K75" s="15">
        <v>0</v>
      </c>
      <c r="L75" s="15" t="s">
        <v>1320</v>
      </c>
      <c r="M75" s="15" t="s">
        <v>1360</v>
      </c>
      <c r="N75" s="233"/>
    </row>
    <row r="76" spans="1:14" ht="16.2" thickBot="1" x14ac:dyDescent="0.35">
      <c r="A76" s="2"/>
      <c r="B76" s="2">
        <v>1098</v>
      </c>
      <c r="C76" s="15">
        <f t="shared" si="3"/>
        <v>4</v>
      </c>
      <c r="D76" s="15">
        <f t="shared" si="4"/>
        <v>3</v>
      </c>
      <c r="E76" s="15">
        <v>1</v>
      </c>
      <c r="F76" s="15">
        <v>0</v>
      </c>
      <c r="G76" s="15" t="s">
        <v>813</v>
      </c>
      <c r="H76" s="15">
        <v>4</v>
      </c>
      <c r="I76" s="15">
        <f t="shared" si="5"/>
        <v>3</v>
      </c>
      <c r="J76" s="15">
        <v>3</v>
      </c>
      <c r="K76" s="15">
        <v>0</v>
      </c>
      <c r="L76" s="15" t="s">
        <v>1320</v>
      </c>
      <c r="M76" s="15" t="s">
        <v>1321</v>
      </c>
      <c r="N76" s="233"/>
    </row>
    <row r="77" spans="1:14" ht="16.2" thickBot="1" x14ac:dyDescent="0.35">
      <c r="A77" s="2"/>
      <c r="B77" s="2">
        <v>1148</v>
      </c>
      <c r="C77" s="15">
        <f t="shared" si="3"/>
        <v>2</v>
      </c>
      <c r="D77" s="15">
        <f t="shared" si="4"/>
        <v>2</v>
      </c>
      <c r="E77" s="15">
        <v>1</v>
      </c>
      <c r="F77" s="15">
        <v>0</v>
      </c>
      <c r="G77" s="15" t="s">
        <v>813</v>
      </c>
      <c r="H77" s="15">
        <v>2</v>
      </c>
      <c r="I77" s="15">
        <f t="shared" si="5"/>
        <v>2</v>
      </c>
      <c r="J77" s="15">
        <v>2</v>
      </c>
      <c r="K77" s="15">
        <v>0</v>
      </c>
      <c r="L77" s="15" t="s">
        <v>1320</v>
      </c>
      <c r="M77" s="15" t="s">
        <v>1321</v>
      </c>
      <c r="N77" s="233"/>
    </row>
    <row r="78" spans="1:14" ht="16.2" thickBot="1" x14ac:dyDescent="0.35">
      <c r="A78" s="2"/>
      <c r="B78" s="2">
        <v>1072</v>
      </c>
      <c r="C78" s="15">
        <f t="shared" si="3"/>
        <v>39</v>
      </c>
      <c r="D78" s="15">
        <f t="shared" si="4"/>
        <v>25</v>
      </c>
      <c r="E78" s="15">
        <v>1</v>
      </c>
      <c r="F78" s="15">
        <v>0</v>
      </c>
      <c r="G78" s="15" t="s">
        <v>813</v>
      </c>
      <c r="H78" s="15">
        <v>39</v>
      </c>
      <c r="I78" s="15">
        <f t="shared" si="5"/>
        <v>25</v>
      </c>
      <c r="J78" s="15">
        <v>25</v>
      </c>
      <c r="K78" s="15">
        <v>0</v>
      </c>
      <c r="L78" s="15" t="s">
        <v>1320</v>
      </c>
      <c r="M78" s="15" t="s">
        <v>1344</v>
      </c>
      <c r="N78" s="233"/>
    </row>
    <row r="79" spans="1:14" ht="16.2" thickBot="1" x14ac:dyDescent="0.35">
      <c r="A79" s="2"/>
      <c r="B79" s="2">
        <v>1042</v>
      </c>
      <c r="C79" s="15">
        <f t="shared" ref="C79:C98" si="6">H79/E79</f>
        <v>28</v>
      </c>
      <c r="D79" s="15">
        <f t="shared" si="4"/>
        <v>2</v>
      </c>
      <c r="E79" s="15">
        <v>1</v>
      </c>
      <c r="F79" s="15">
        <v>0</v>
      </c>
      <c r="G79" s="15" t="s">
        <v>813</v>
      </c>
      <c r="H79" s="15">
        <v>28</v>
      </c>
      <c r="I79" s="15">
        <f t="shared" si="5"/>
        <v>2</v>
      </c>
      <c r="J79" s="15">
        <v>2</v>
      </c>
      <c r="K79" s="15">
        <v>0</v>
      </c>
      <c r="L79" s="15" t="s">
        <v>1324</v>
      </c>
      <c r="M79" s="15">
        <v>6073008339</v>
      </c>
      <c r="N79" s="233"/>
    </row>
    <row r="80" spans="1:14" ht="31.8" thickBot="1" x14ac:dyDescent="0.35">
      <c r="A80" s="2"/>
      <c r="B80" s="2">
        <v>1024</v>
      </c>
      <c r="C80" s="15">
        <f t="shared" si="6"/>
        <v>460</v>
      </c>
      <c r="D80" s="15">
        <f t="shared" si="4"/>
        <v>546</v>
      </c>
      <c r="E80" s="15">
        <v>1</v>
      </c>
      <c r="F80" s="15">
        <v>0</v>
      </c>
      <c r="G80" s="15" t="s">
        <v>813</v>
      </c>
      <c r="H80" s="15">
        <v>460</v>
      </c>
      <c r="I80" s="15">
        <f t="shared" si="5"/>
        <v>546</v>
      </c>
      <c r="J80" s="15">
        <v>546</v>
      </c>
      <c r="K80" s="15">
        <v>0</v>
      </c>
      <c r="L80" s="15" t="s">
        <v>1332</v>
      </c>
      <c r="M80" s="15" t="s">
        <v>1366</v>
      </c>
      <c r="N80" s="233"/>
    </row>
    <row r="81" spans="1:14" ht="31.8" thickBot="1" x14ac:dyDescent="0.35">
      <c r="A81" s="2"/>
      <c r="B81" s="2">
        <v>1036</v>
      </c>
      <c r="C81" s="15">
        <f t="shared" si="6"/>
        <v>324</v>
      </c>
      <c r="D81" s="15">
        <f t="shared" si="4"/>
        <v>180</v>
      </c>
      <c r="E81" s="15">
        <v>1</v>
      </c>
      <c r="F81" s="15">
        <v>0</v>
      </c>
      <c r="G81" s="15" t="s">
        <v>813</v>
      </c>
      <c r="H81" s="15">
        <v>324</v>
      </c>
      <c r="I81" s="15">
        <f t="shared" si="5"/>
        <v>180</v>
      </c>
      <c r="J81" s="15">
        <v>180</v>
      </c>
      <c r="K81" s="15">
        <v>0</v>
      </c>
      <c r="L81" s="15" t="s">
        <v>1320</v>
      </c>
      <c r="M81" s="15" t="s">
        <v>1367</v>
      </c>
      <c r="N81" s="233"/>
    </row>
    <row r="82" spans="1:14" ht="78.599999999999994" thickBot="1" x14ac:dyDescent="0.35">
      <c r="A82" s="2"/>
      <c r="B82" s="2">
        <v>1003</v>
      </c>
      <c r="C82" s="15">
        <f t="shared" si="6"/>
        <v>3908</v>
      </c>
      <c r="D82" s="15">
        <f t="shared" si="4"/>
        <v>1775</v>
      </c>
      <c r="E82" s="15">
        <v>1</v>
      </c>
      <c r="F82" s="15">
        <v>0</v>
      </c>
      <c r="G82" s="15" t="s">
        <v>813</v>
      </c>
      <c r="H82" s="15">
        <v>3908</v>
      </c>
      <c r="I82" s="15">
        <f t="shared" si="5"/>
        <v>1775</v>
      </c>
      <c r="J82" s="15">
        <v>1775</v>
      </c>
      <c r="K82" s="15">
        <v>0</v>
      </c>
      <c r="L82" s="15" t="s">
        <v>1320</v>
      </c>
      <c r="M82" s="15" t="s">
        <v>1368</v>
      </c>
      <c r="N82" s="233"/>
    </row>
    <row r="83" spans="1:14" ht="94.2" thickBot="1" x14ac:dyDescent="0.35">
      <c r="A83" s="2"/>
      <c r="B83" s="2">
        <v>1032</v>
      </c>
      <c r="C83" s="15">
        <f t="shared" si="6"/>
        <v>1224</v>
      </c>
      <c r="D83" s="15">
        <f t="shared" si="4"/>
        <v>2067</v>
      </c>
      <c r="E83" s="15">
        <v>1</v>
      </c>
      <c r="F83" s="15">
        <v>0</v>
      </c>
      <c r="G83" s="15" t="s">
        <v>813</v>
      </c>
      <c r="H83" s="15">
        <v>1224</v>
      </c>
      <c r="I83" s="15">
        <f t="shared" si="5"/>
        <v>2067</v>
      </c>
      <c r="J83" s="15">
        <v>2067</v>
      </c>
      <c r="K83" s="15">
        <v>0</v>
      </c>
      <c r="L83" s="15" t="s">
        <v>1329</v>
      </c>
      <c r="M83" s="15" t="s">
        <v>1369</v>
      </c>
      <c r="N83" s="233"/>
    </row>
    <row r="84" spans="1:14" ht="16.2" thickBot="1" x14ac:dyDescent="0.35">
      <c r="A84" s="2"/>
      <c r="B84" s="2">
        <v>1020</v>
      </c>
      <c r="C84" s="15">
        <f t="shared" si="6"/>
        <v>1302</v>
      </c>
      <c r="D84" s="15">
        <f t="shared" si="4"/>
        <v>937</v>
      </c>
      <c r="E84" s="15">
        <v>1</v>
      </c>
      <c r="F84" s="15">
        <v>0</v>
      </c>
      <c r="G84" s="15" t="s">
        <v>813</v>
      </c>
      <c r="H84" s="15">
        <v>1302</v>
      </c>
      <c r="I84" s="15">
        <f t="shared" si="5"/>
        <v>937</v>
      </c>
      <c r="J84" s="15">
        <v>937</v>
      </c>
      <c r="K84" s="15">
        <v>0</v>
      </c>
      <c r="L84" s="15" t="s">
        <v>1329</v>
      </c>
      <c r="M84" s="15" t="s">
        <v>1370</v>
      </c>
      <c r="N84" s="233"/>
    </row>
    <row r="85" spans="1:14" ht="31.8" thickBot="1" x14ac:dyDescent="0.35">
      <c r="A85" s="2"/>
      <c r="B85" s="2">
        <v>1026</v>
      </c>
      <c r="C85" s="15">
        <f t="shared" si="6"/>
        <v>131.5</v>
      </c>
      <c r="D85" s="15">
        <f t="shared" si="4"/>
        <v>115.5</v>
      </c>
      <c r="E85" s="15">
        <v>2</v>
      </c>
      <c r="F85" s="15">
        <v>0</v>
      </c>
      <c r="G85" s="15" t="s">
        <v>813</v>
      </c>
      <c r="H85" s="15">
        <v>263</v>
      </c>
      <c r="I85" s="15">
        <f t="shared" si="5"/>
        <v>231</v>
      </c>
      <c r="J85" s="15">
        <v>231</v>
      </c>
      <c r="K85" s="15">
        <v>0</v>
      </c>
      <c r="L85" s="15" t="s">
        <v>1320</v>
      </c>
      <c r="M85" s="15" t="s">
        <v>1371</v>
      </c>
      <c r="N85" s="233"/>
    </row>
    <row r="86" spans="1:14" ht="16.2" thickBot="1" x14ac:dyDescent="0.35">
      <c r="A86" s="2"/>
      <c r="B86" s="2">
        <v>1028</v>
      </c>
      <c r="C86" s="15">
        <f t="shared" si="6"/>
        <v>811</v>
      </c>
      <c r="D86" s="15">
        <f t="shared" si="4"/>
        <v>521</v>
      </c>
      <c r="E86" s="15">
        <v>1</v>
      </c>
      <c r="F86" s="15">
        <v>0</v>
      </c>
      <c r="G86" s="15" t="s">
        <v>813</v>
      </c>
      <c r="H86" s="15">
        <v>811</v>
      </c>
      <c r="I86" s="15">
        <f t="shared" si="5"/>
        <v>521</v>
      </c>
      <c r="J86" s="15">
        <v>521</v>
      </c>
      <c r="K86" s="15">
        <v>0</v>
      </c>
      <c r="L86" s="15" t="s">
        <v>1332</v>
      </c>
      <c r="M86" s="15" t="s">
        <v>1372</v>
      </c>
      <c r="N86" s="233"/>
    </row>
    <row r="87" spans="1:14" ht="16.2" thickBot="1" x14ac:dyDescent="0.35">
      <c r="A87" s="2"/>
      <c r="B87" s="2">
        <v>1100</v>
      </c>
      <c r="C87" s="15">
        <f t="shared" si="6"/>
        <v>4</v>
      </c>
      <c r="D87" s="15">
        <f t="shared" si="4"/>
        <v>2</v>
      </c>
      <c r="E87" s="15">
        <v>1</v>
      </c>
      <c r="F87" s="15">
        <v>0</v>
      </c>
      <c r="G87" s="15" t="s">
        <v>813</v>
      </c>
      <c r="H87" s="15">
        <v>4</v>
      </c>
      <c r="I87" s="15">
        <f t="shared" si="5"/>
        <v>2</v>
      </c>
      <c r="J87" s="15">
        <v>2</v>
      </c>
      <c r="K87" s="15">
        <v>0</v>
      </c>
      <c r="L87" s="15" t="s">
        <v>1320</v>
      </c>
      <c r="M87" s="15" t="s">
        <v>1360</v>
      </c>
      <c r="N87" s="233"/>
    </row>
    <row r="88" spans="1:14" ht="47.4" thickBot="1" x14ac:dyDescent="0.35">
      <c r="A88" s="2"/>
      <c r="B88" s="2">
        <v>1131</v>
      </c>
      <c r="C88" s="15">
        <f t="shared" si="6"/>
        <v>766</v>
      </c>
      <c r="D88" s="15">
        <f t="shared" si="4"/>
        <v>424</v>
      </c>
      <c r="E88" s="15">
        <v>1</v>
      </c>
      <c r="F88" s="15">
        <v>0</v>
      </c>
      <c r="G88" s="15" t="s">
        <v>813</v>
      </c>
      <c r="H88" s="15">
        <v>766</v>
      </c>
      <c r="I88" s="15">
        <f t="shared" si="5"/>
        <v>424</v>
      </c>
      <c r="J88" s="15">
        <v>424</v>
      </c>
      <c r="K88" s="15">
        <v>0</v>
      </c>
      <c r="L88" s="15" t="s">
        <v>1329</v>
      </c>
      <c r="M88" s="15" t="s">
        <v>1373</v>
      </c>
      <c r="N88" s="233"/>
    </row>
    <row r="89" spans="1:14" ht="63" thickBot="1" x14ac:dyDescent="0.35">
      <c r="A89" s="2"/>
      <c r="B89" s="2">
        <v>1013</v>
      </c>
      <c r="C89" s="15">
        <f t="shared" si="6"/>
        <v>917</v>
      </c>
      <c r="D89" s="15">
        <f t="shared" si="4"/>
        <v>357</v>
      </c>
      <c r="E89" s="15">
        <v>2</v>
      </c>
      <c r="F89" s="15">
        <v>0</v>
      </c>
      <c r="G89" s="15" t="s">
        <v>813</v>
      </c>
      <c r="H89" s="15">
        <v>1834</v>
      </c>
      <c r="I89" s="15">
        <f t="shared" si="5"/>
        <v>714</v>
      </c>
      <c r="J89" s="15">
        <v>714</v>
      </c>
      <c r="K89" s="15">
        <v>0</v>
      </c>
      <c r="L89" s="15" t="s">
        <v>1320</v>
      </c>
      <c r="M89" s="15" t="s">
        <v>1374</v>
      </c>
      <c r="N89" s="233"/>
    </row>
    <row r="90" spans="1:14" ht="47.4" thickBot="1" x14ac:dyDescent="0.35">
      <c r="A90" s="2"/>
      <c r="B90" s="2">
        <v>1016</v>
      </c>
      <c r="C90" s="15">
        <f t="shared" si="6"/>
        <v>1126</v>
      </c>
      <c r="D90" s="15">
        <f t="shared" si="4"/>
        <v>996.5</v>
      </c>
      <c r="E90" s="15">
        <v>2</v>
      </c>
      <c r="F90" s="15">
        <v>0</v>
      </c>
      <c r="G90" s="15" t="s">
        <v>813</v>
      </c>
      <c r="H90" s="15">
        <v>2252</v>
      </c>
      <c r="I90" s="15">
        <f t="shared" si="5"/>
        <v>1993</v>
      </c>
      <c r="J90" s="15">
        <v>1993</v>
      </c>
      <c r="K90" s="15">
        <v>0</v>
      </c>
      <c r="L90" s="15" t="s">
        <v>1329</v>
      </c>
      <c r="M90" s="15" t="s">
        <v>1375</v>
      </c>
      <c r="N90" s="233"/>
    </row>
    <row r="91" spans="1:14" ht="16.2" thickBot="1" x14ac:dyDescent="0.35">
      <c r="A91" s="2"/>
      <c r="B91" s="2">
        <v>1062</v>
      </c>
      <c r="C91" s="15">
        <f t="shared" si="6"/>
        <v>3</v>
      </c>
      <c r="D91" s="15">
        <f t="shared" si="4"/>
        <v>4</v>
      </c>
      <c r="E91" s="15">
        <v>1</v>
      </c>
      <c r="F91" s="15">
        <v>0</v>
      </c>
      <c r="G91" s="15" t="s">
        <v>813</v>
      </c>
      <c r="H91" s="15">
        <v>3</v>
      </c>
      <c r="I91" s="15">
        <f t="shared" si="5"/>
        <v>4</v>
      </c>
      <c r="J91" s="15">
        <v>4</v>
      </c>
      <c r="K91" s="15">
        <v>0</v>
      </c>
      <c r="L91" s="15" t="s">
        <v>1324</v>
      </c>
      <c r="M91" s="15" t="s">
        <v>1376</v>
      </c>
      <c r="N91" s="233"/>
    </row>
    <row r="92" spans="1:14" ht="31.8" thickBot="1" x14ac:dyDescent="0.35">
      <c r="A92" s="2"/>
      <c r="B92" s="2">
        <v>1065</v>
      </c>
      <c r="C92" s="15">
        <f t="shared" si="6"/>
        <v>49</v>
      </c>
      <c r="D92" s="15">
        <f t="shared" si="4"/>
        <v>56</v>
      </c>
      <c r="E92" s="15">
        <v>1</v>
      </c>
      <c r="F92" s="15">
        <v>0</v>
      </c>
      <c r="G92" s="15" t="s">
        <v>813</v>
      </c>
      <c r="H92" s="15">
        <v>49</v>
      </c>
      <c r="I92" s="15">
        <f t="shared" si="5"/>
        <v>56</v>
      </c>
      <c r="J92" s="15">
        <v>56</v>
      </c>
      <c r="K92" s="15">
        <v>0</v>
      </c>
      <c r="L92" s="15" t="s">
        <v>1324</v>
      </c>
      <c r="M92" s="15" t="s">
        <v>1377</v>
      </c>
      <c r="N92" s="233"/>
    </row>
    <row r="93" spans="1:14" ht="16.2" thickBot="1" x14ac:dyDescent="0.35">
      <c r="A93" s="2"/>
      <c r="B93" s="2">
        <v>1096</v>
      </c>
      <c r="C93" s="15">
        <f t="shared" si="6"/>
        <v>5</v>
      </c>
      <c r="D93" s="15">
        <f t="shared" si="4"/>
        <v>0</v>
      </c>
      <c r="E93" s="15">
        <v>1</v>
      </c>
      <c r="F93" s="15">
        <v>0</v>
      </c>
      <c r="G93" s="15" t="s">
        <v>813</v>
      </c>
      <c r="H93" s="15">
        <v>5</v>
      </c>
      <c r="I93" s="15">
        <f t="shared" si="5"/>
        <v>0</v>
      </c>
      <c r="J93" s="15"/>
      <c r="K93" s="15">
        <v>0</v>
      </c>
      <c r="L93" s="15" t="s">
        <v>1320</v>
      </c>
      <c r="M93" s="15" t="s">
        <v>1357</v>
      </c>
      <c r="N93" s="8"/>
    </row>
    <row r="94" spans="1:14" ht="16.2" thickBot="1" x14ac:dyDescent="0.35">
      <c r="A94" s="2"/>
      <c r="B94" s="2">
        <v>1143</v>
      </c>
      <c r="C94" s="15">
        <f t="shared" si="6"/>
        <v>118</v>
      </c>
      <c r="D94" s="15">
        <f t="shared" si="4"/>
        <v>41</v>
      </c>
      <c r="E94" s="15">
        <v>1</v>
      </c>
      <c r="F94" s="15">
        <v>0</v>
      </c>
      <c r="G94" s="15" t="s">
        <v>813</v>
      </c>
      <c r="H94" s="15">
        <v>118</v>
      </c>
      <c r="I94" s="15">
        <f t="shared" si="5"/>
        <v>41</v>
      </c>
      <c r="J94" s="15">
        <v>41</v>
      </c>
      <c r="K94" s="15">
        <v>0</v>
      </c>
      <c r="L94" s="15" t="s">
        <v>1320</v>
      </c>
      <c r="M94" s="15" t="s">
        <v>1357</v>
      </c>
      <c r="N94" s="8"/>
    </row>
    <row r="95" spans="1:14" ht="78.599999999999994" thickBot="1" x14ac:dyDescent="0.35">
      <c r="A95" s="2"/>
      <c r="B95" s="2">
        <v>1007</v>
      </c>
      <c r="C95" s="15">
        <f t="shared" si="6"/>
        <v>91.8</v>
      </c>
      <c r="D95" s="15">
        <f t="shared" si="4"/>
        <v>21.4</v>
      </c>
      <c r="E95" s="15">
        <v>5</v>
      </c>
      <c r="F95" s="15">
        <v>0</v>
      </c>
      <c r="G95" s="15" t="s">
        <v>813</v>
      </c>
      <c r="H95" s="15">
        <v>459</v>
      </c>
      <c r="I95" s="15">
        <f t="shared" si="5"/>
        <v>107</v>
      </c>
      <c r="J95" s="15">
        <v>106</v>
      </c>
      <c r="K95" s="15">
        <v>1</v>
      </c>
      <c r="L95" s="15" t="s">
        <v>1322</v>
      </c>
      <c r="M95" s="15" t="s">
        <v>1378</v>
      </c>
      <c r="N95" s="8"/>
    </row>
    <row r="96" spans="1:14" ht="31.8" thickBot="1" x14ac:dyDescent="0.35">
      <c r="A96" s="2"/>
      <c r="B96" s="2">
        <v>1054</v>
      </c>
      <c r="C96" s="15">
        <f t="shared" si="6"/>
        <v>99</v>
      </c>
      <c r="D96" s="15">
        <f t="shared" si="4"/>
        <v>187</v>
      </c>
      <c r="E96" s="15">
        <v>1</v>
      </c>
      <c r="F96" s="15">
        <v>0</v>
      </c>
      <c r="G96" s="15" t="s">
        <v>813</v>
      </c>
      <c r="H96" s="15">
        <v>99</v>
      </c>
      <c r="I96" s="15">
        <f>SUM(J96, K96)</f>
        <v>187</v>
      </c>
      <c r="J96" s="15">
        <v>187</v>
      </c>
      <c r="K96" s="15">
        <v>0</v>
      </c>
      <c r="L96" s="15" t="s">
        <v>1379</v>
      </c>
      <c r="M96" s="15" t="s">
        <v>1380</v>
      </c>
      <c r="N96" s="8"/>
    </row>
    <row r="97" spans="1:14" ht="16.2" thickBot="1" x14ac:dyDescent="0.35">
      <c r="A97" s="2"/>
      <c r="B97" s="2">
        <v>1158</v>
      </c>
      <c r="C97" s="15">
        <f t="shared" si="6"/>
        <v>378</v>
      </c>
      <c r="D97" s="15">
        <f t="shared" si="4"/>
        <v>156</v>
      </c>
      <c r="E97" s="15">
        <v>1</v>
      </c>
      <c r="F97" s="15">
        <v>0</v>
      </c>
      <c r="G97" s="15" t="s">
        <v>813</v>
      </c>
      <c r="H97" s="15">
        <v>378</v>
      </c>
      <c r="I97" s="15">
        <f>SUM(J97, K97)</f>
        <v>156</v>
      </c>
      <c r="J97" s="15">
        <v>156</v>
      </c>
      <c r="K97" s="15">
        <v>0</v>
      </c>
      <c r="L97" s="15" t="s">
        <v>1322</v>
      </c>
      <c r="M97" s="15" t="s">
        <v>1381</v>
      </c>
      <c r="N97" s="8"/>
    </row>
    <row r="98" spans="1:14" ht="31.8" thickBot="1" x14ac:dyDescent="0.35">
      <c r="A98" s="2"/>
      <c r="B98" s="2">
        <v>1061</v>
      </c>
      <c r="C98" s="15">
        <f t="shared" si="6"/>
        <v>13</v>
      </c>
      <c r="D98" s="15">
        <f t="shared" si="4"/>
        <v>6</v>
      </c>
      <c r="E98" s="15">
        <v>1</v>
      </c>
      <c r="F98" s="15">
        <v>0</v>
      </c>
      <c r="G98" s="15" t="s">
        <v>813</v>
      </c>
      <c r="H98" s="15">
        <v>13</v>
      </c>
      <c r="I98" s="15">
        <f t="shared" si="5"/>
        <v>6</v>
      </c>
      <c r="J98" s="15">
        <v>6</v>
      </c>
      <c r="K98" s="15">
        <v>0</v>
      </c>
      <c r="L98" s="15" t="s">
        <v>1320</v>
      </c>
      <c r="M98" s="15" t="s">
        <v>1382</v>
      </c>
      <c r="N98" s="8"/>
    </row>
    <row r="99" spans="1:14" ht="78.599999999999994" thickBot="1" x14ac:dyDescent="0.35">
      <c r="A99" s="2"/>
      <c r="B99" s="15" t="s">
        <v>739</v>
      </c>
      <c r="C99" s="266">
        <f>H99/E99</f>
        <v>1972.6423529411766</v>
      </c>
      <c r="D99" s="266">
        <f>I99/E99</f>
        <v>2132.3835294117648</v>
      </c>
      <c r="E99" s="266">
        <f>SUM(E8:E98)</f>
        <v>425</v>
      </c>
      <c r="F99" s="15">
        <f>SUM(F8:F98)</f>
        <v>14</v>
      </c>
      <c r="G99" s="15" t="s">
        <v>133</v>
      </c>
      <c r="H99" s="266">
        <f>SUM(H8:H98)</f>
        <v>838373</v>
      </c>
      <c r="I99" s="266">
        <f>SUM(I8:I98)</f>
        <v>906263</v>
      </c>
      <c r="J99" s="266">
        <f>SUM(J8:J98)</f>
        <v>906227</v>
      </c>
      <c r="K99" s="266">
        <f>SUM(K8:K98)</f>
        <v>36</v>
      </c>
      <c r="L99" s="15" t="s">
        <v>133</v>
      </c>
      <c r="M99" s="15" t="s">
        <v>133</v>
      </c>
      <c r="N99" s="8"/>
    </row>
    <row r="106" spans="1:14" x14ac:dyDescent="0.3">
      <c r="C106" s="1"/>
    </row>
    <row r="107" spans="1:14" x14ac:dyDescent="0.3">
      <c r="C107" s="1"/>
    </row>
    <row r="108" spans="1:14" x14ac:dyDescent="0.3">
      <c r="C108" s="1"/>
      <c r="E108" s="26"/>
    </row>
    <row r="110" spans="1:14" x14ac:dyDescent="0.3">
      <c r="C110" s="1"/>
      <c r="E110" s="26"/>
    </row>
  </sheetData>
  <conditionalFormatting sqref="A7:B7 E7:XFD7">
    <cfRule type="containsText" dxfId="1" priority="1" operator="containsText" text="Calculated">
      <formula>NOT(ISERROR(SEARCH("Calculated",A7)))</formula>
    </cfRule>
  </conditionalFormatting>
  <printOptions horizontalCentered="1"/>
  <pageMargins left="0.25" right="0.25" top="0.75" bottom="0.75" header="0.3" footer="0.3"/>
  <pageSetup paperSize="3" scale="47" fitToHeight="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8BD526-E4CB-4C78-92EF-50B8B838CFC1}">
  <dimension ref="A1:L23"/>
  <sheetViews>
    <sheetView workbookViewId="0">
      <selection activeCell="A2" sqref="A2"/>
    </sheetView>
  </sheetViews>
  <sheetFormatPr defaultColWidth="8.6640625" defaultRowHeight="15.6" x14ac:dyDescent="0.3"/>
  <cols>
    <col min="1" max="1" width="25.5546875" style="10" customWidth="1"/>
    <col min="2" max="2" width="27.33203125" style="10" customWidth="1"/>
    <col min="3" max="3" width="21.6640625" style="10" customWidth="1"/>
    <col min="4" max="4" width="22.33203125" style="10" customWidth="1"/>
    <col min="5" max="6" width="23" style="10" customWidth="1"/>
    <col min="7" max="7" width="18.109375" style="10" customWidth="1"/>
    <col min="8" max="8" width="18.109375" style="1" customWidth="1"/>
    <col min="9" max="9" width="21.5546875" style="1" customWidth="1"/>
    <col min="10" max="10" width="16.109375" style="1" customWidth="1"/>
    <col min="11" max="11" width="16.33203125" style="1" customWidth="1"/>
    <col min="12" max="12" width="16.109375" style="1" customWidth="1"/>
    <col min="13" max="16384" width="8.6640625" style="1"/>
  </cols>
  <sheetData>
    <row r="1" spans="1:12" x14ac:dyDescent="0.3">
      <c r="A1" s="158" t="s">
        <v>1383</v>
      </c>
    </row>
    <row r="2" spans="1:12" ht="16.2" thickBot="1" x14ac:dyDescent="0.35"/>
    <row r="3" spans="1:12" ht="31.8" thickBot="1" x14ac:dyDescent="0.35">
      <c r="A3" s="15" t="s">
        <v>15</v>
      </c>
      <c r="B3" s="16" t="s">
        <v>16</v>
      </c>
      <c r="C3" s="16" t="s">
        <v>17</v>
      </c>
      <c r="D3" s="16" t="s">
        <v>18</v>
      </c>
      <c r="E3" s="16" t="s">
        <v>19</v>
      </c>
      <c r="F3" s="16" t="s">
        <v>20</v>
      </c>
      <c r="G3" s="16" t="s">
        <v>21</v>
      </c>
      <c r="H3" s="16" t="s">
        <v>22</v>
      </c>
      <c r="I3" s="16" t="s">
        <v>23</v>
      </c>
      <c r="J3" s="16" t="s">
        <v>24</v>
      </c>
    </row>
    <row r="4" spans="1:12" ht="31.8" thickBot="1" x14ac:dyDescent="0.35">
      <c r="A4" s="123"/>
      <c r="B4" s="124"/>
      <c r="C4" s="124"/>
      <c r="D4" s="125"/>
      <c r="E4" s="124" t="s">
        <v>27</v>
      </c>
      <c r="F4" s="124"/>
      <c r="G4" s="124"/>
      <c r="H4" s="124"/>
      <c r="I4" s="124" t="s">
        <v>1386</v>
      </c>
      <c r="J4" s="124"/>
    </row>
    <row r="5" spans="1:12" ht="16.2" thickBot="1" x14ac:dyDescent="0.35"/>
    <row r="6" spans="1:12" ht="31.8" thickBot="1" x14ac:dyDescent="0.35">
      <c r="A6" s="15" t="s">
        <v>29</v>
      </c>
      <c r="B6" s="126"/>
      <c r="F6" s="15" t="s">
        <v>30</v>
      </c>
      <c r="G6" s="124"/>
      <c r="I6" s="15" t="s">
        <v>31</v>
      </c>
      <c r="J6" s="16">
        <v>2027</v>
      </c>
    </row>
    <row r="7" spans="1:12" ht="31.8" thickBot="1" x14ac:dyDescent="0.35">
      <c r="A7" s="15" t="s">
        <v>32</v>
      </c>
      <c r="B7" s="138">
        <f>I17</f>
        <v>0</v>
      </c>
      <c r="F7" s="15" t="s">
        <v>33</v>
      </c>
      <c r="G7" s="114" t="e">
        <f>ROUND(IF($I$4="Southwest Gas", INDEX('SWG Costs Data'!F14:L14,MATCH('SWG Calculations'!$D$4,'SWG Costs Data'!F$5:L$5, 0)),"")/365,0)</f>
        <v>#N/A</v>
      </c>
      <c r="I7" s="20" t="s">
        <v>34</v>
      </c>
      <c r="J7" s="16">
        <v>7.2499999999999995E-2</v>
      </c>
    </row>
    <row r="8" spans="1:12" ht="63" thickBot="1" x14ac:dyDescent="0.35">
      <c r="A8" s="15" t="s">
        <v>35</v>
      </c>
      <c r="B8" s="139" t="str">
        <f>IFERROR(B7/B6,"")</f>
        <v/>
      </c>
      <c r="F8" s="15" t="s">
        <v>36</v>
      </c>
      <c r="G8" s="124"/>
      <c r="I8" s="20" t="s">
        <v>37</v>
      </c>
      <c r="J8" s="16">
        <f>J7</f>
        <v>7.2499999999999995E-2</v>
      </c>
    </row>
    <row r="9" spans="1:12" ht="47.4" thickBot="1" x14ac:dyDescent="0.35">
      <c r="E9" s="1"/>
      <c r="F9" s="20" t="s">
        <v>38</v>
      </c>
      <c r="G9" s="124"/>
      <c r="I9" s="51" t="s">
        <v>39</v>
      </c>
      <c r="J9" s="16">
        <v>0.04</v>
      </c>
    </row>
    <row r="10" spans="1:12" ht="16.2" thickBot="1" x14ac:dyDescent="0.35">
      <c r="E10" s="1"/>
      <c r="J10" s="137"/>
      <c r="K10" s="137"/>
    </row>
    <row r="11" spans="1:12" ht="33" customHeight="1" thickBot="1" x14ac:dyDescent="0.35">
      <c r="A11" s="10" t="s">
        <v>4</v>
      </c>
      <c r="J11" s="277" t="s">
        <v>40</v>
      </c>
      <c r="K11" s="278"/>
    </row>
    <row r="12" spans="1:12" ht="78.599999999999994" thickBot="1" x14ac:dyDescent="0.35">
      <c r="A12" s="2" t="s">
        <v>41</v>
      </c>
      <c r="B12" s="3" t="s">
        <v>42</v>
      </c>
      <c r="C12" s="3" t="s">
        <v>43</v>
      </c>
      <c r="D12" s="3" t="s">
        <v>44</v>
      </c>
      <c r="E12" s="3" t="s">
        <v>45</v>
      </c>
      <c r="F12" s="3" t="s">
        <v>46</v>
      </c>
      <c r="G12" s="3" t="s">
        <v>47</v>
      </c>
      <c r="H12" s="3" t="s">
        <v>48</v>
      </c>
      <c r="I12" s="3" t="s">
        <v>49</v>
      </c>
      <c r="J12" s="3" t="s">
        <v>50</v>
      </c>
      <c r="K12" s="3" t="s">
        <v>51</v>
      </c>
      <c r="L12" s="3" t="s">
        <v>52</v>
      </c>
    </row>
    <row r="13" spans="1:12" ht="16.2" thickBot="1" x14ac:dyDescent="0.35">
      <c r="A13" s="120" t="s">
        <v>54</v>
      </c>
      <c r="B13" s="5" t="s">
        <v>55</v>
      </c>
      <c r="C13" s="125" t="s">
        <v>1478</v>
      </c>
      <c r="D13" s="140" t="str">
        <f>IF($I$4="Southwest Gas",IF(OR($B$4="Distribution services only", $B$4="Distribution services and regulator stations"), INDEX('SWG Costs Data'!$F9:$L9,MATCH('SWG Calculations'!$D$4,'SWG Costs Data'!$F$5:$L$5,0)), ""), "")</f>
        <v/>
      </c>
      <c r="E13" s="140">
        <f>IFERROR(C13*D13*(1+'SWG Calculations'!$J$9)^('SWG Calculations'!$G$6-2022),0)</f>
        <v>0</v>
      </c>
      <c r="F13" s="140">
        <f>'SWG NPV Calc Details'!$E$3</f>
        <v>0</v>
      </c>
      <c r="G13" s="141"/>
      <c r="H13" s="141"/>
      <c r="I13" s="56">
        <f>F13</f>
        <v>0</v>
      </c>
      <c r="J13" s="142"/>
      <c r="K13" s="142"/>
      <c r="L13" s="56">
        <f>SUM(I13:K13)</f>
        <v>0</v>
      </c>
    </row>
    <row r="14" spans="1:12" ht="16.2" thickBot="1" x14ac:dyDescent="0.35">
      <c r="A14" s="120" t="s">
        <v>56</v>
      </c>
      <c r="B14" s="5" t="s">
        <v>57</v>
      </c>
      <c r="C14" s="125" t="s">
        <v>1479</v>
      </c>
      <c r="D14" s="140" t="e">
        <f>IF($I$4="Southwest Gas",IF($B$4="Distribution services only", 0, INDEX('SWG Costs Data'!F11:L11,MATCH('SWG Calculations'!$D$4,'SWG Costs Data'!F$5:L$5, 0))), "")</f>
        <v>#N/A</v>
      </c>
      <c r="E14" s="140">
        <f>IFERROR(C14*D14*(1+'SWG Calculations'!$J$9)^('SWG Calculations'!$G$6-2022),0)</f>
        <v>0</v>
      </c>
      <c r="F14" s="140">
        <f>'SWG NPV Calc Details'!$J$3</f>
        <v>0</v>
      </c>
      <c r="G14" s="141"/>
      <c r="H14" s="141"/>
      <c r="I14" s="56">
        <f>F14</f>
        <v>0</v>
      </c>
      <c r="J14" s="142"/>
      <c r="K14" s="142"/>
      <c r="L14" s="56">
        <f t="shared" ref="L14:L16" si="0">SUM(I14:K14)</f>
        <v>0</v>
      </c>
    </row>
    <row r="15" spans="1:12" ht="31.8" thickBot="1" x14ac:dyDescent="0.35">
      <c r="A15" s="120" t="s">
        <v>58</v>
      </c>
      <c r="B15" s="5" t="s">
        <v>59</v>
      </c>
      <c r="C15" s="141" t="s">
        <v>1387</v>
      </c>
      <c r="D15" s="141"/>
      <c r="E15" s="141"/>
      <c r="F15" s="141"/>
      <c r="G15" s="141"/>
      <c r="H15" s="141"/>
      <c r="I15" s="56">
        <f>F15</f>
        <v>0</v>
      </c>
      <c r="J15" s="142"/>
      <c r="K15" s="142"/>
      <c r="L15" s="56">
        <f t="shared" si="0"/>
        <v>0</v>
      </c>
    </row>
    <row r="16" spans="1:12" ht="31.8" thickBot="1" x14ac:dyDescent="0.35">
      <c r="A16" s="120" t="s">
        <v>60</v>
      </c>
      <c r="B16" s="5" t="s">
        <v>61</v>
      </c>
      <c r="C16" s="11"/>
      <c r="D16" s="141"/>
      <c r="E16" s="143"/>
      <c r="F16" s="141"/>
      <c r="G16" s="140">
        <f>$B$6 * IF($I$4="Southwest Gas",'SWG Costs Data'!$M$13*$B$6, "")</f>
        <v>0</v>
      </c>
      <c r="H16" s="140">
        <f>'SWG NPV Calc Details'!$M$3</f>
        <v>0</v>
      </c>
      <c r="I16" s="56">
        <f>H16</f>
        <v>0</v>
      </c>
      <c r="J16" s="142"/>
      <c r="K16" s="142"/>
      <c r="L16" s="56">
        <f t="shared" si="0"/>
        <v>0</v>
      </c>
    </row>
    <row r="17" spans="1:12" ht="16.2" thickBot="1" x14ac:dyDescent="0.35">
      <c r="A17" s="120" t="s">
        <v>62</v>
      </c>
      <c r="B17" s="5" t="s">
        <v>63</v>
      </c>
      <c r="C17" s="135"/>
      <c r="D17" s="135"/>
      <c r="E17" s="144">
        <f>SUM(E13:E16)</f>
        <v>0</v>
      </c>
      <c r="F17" s="144">
        <f t="shared" ref="F17:L17" si="1">SUM(F13:F16)</f>
        <v>0</v>
      </c>
      <c r="G17" s="144">
        <f t="shared" si="1"/>
        <v>0</v>
      </c>
      <c r="H17" s="144">
        <f t="shared" si="1"/>
        <v>0</v>
      </c>
      <c r="I17" s="145">
        <f t="shared" si="1"/>
        <v>0</v>
      </c>
      <c r="J17" s="85">
        <f t="shared" si="1"/>
        <v>0</v>
      </c>
      <c r="K17" s="85">
        <f t="shared" si="1"/>
        <v>0</v>
      </c>
      <c r="L17" s="85">
        <f t="shared" si="1"/>
        <v>0</v>
      </c>
    </row>
    <row r="18" spans="1:12" x14ac:dyDescent="0.3">
      <c r="A18" s="8"/>
      <c r="B18" s="8"/>
      <c r="C18" s="8"/>
      <c r="D18" s="8"/>
      <c r="E18" s="8"/>
      <c r="F18" s="8"/>
      <c r="G18" s="8"/>
    </row>
    <row r="19" spans="1:12" x14ac:dyDescent="0.3">
      <c r="A19" s="8"/>
      <c r="B19" s="8"/>
      <c r="C19" s="8"/>
      <c r="D19" s="8"/>
      <c r="E19" s="8"/>
      <c r="F19" s="8"/>
      <c r="G19" s="8"/>
    </row>
    <row r="20" spans="1:12" x14ac:dyDescent="0.3">
      <c r="A20" s="9"/>
      <c r="B20" s="8"/>
      <c r="C20" s="8"/>
      <c r="D20" s="8"/>
      <c r="E20" s="8"/>
      <c r="F20" s="8"/>
      <c r="G20" s="8"/>
    </row>
    <row r="21" spans="1:12" x14ac:dyDescent="0.3">
      <c r="A21" s="1"/>
    </row>
    <row r="23" spans="1:12" x14ac:dyDescent="0.3">
      <c r="A23" s="1"/>
    </row>
  </sheetData>
  <mergeCells count="1">
    <mergeCell ref="J11:K11"/>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xr:uid="{F4C4E6AC-B9B5-429F-8569-B3BEE4429B5A}">
          <x14:formula1>
            <xm:f>'Drop-Down Menus'!$B$3:$B$5</xm:f>
          </x14:formula1>
          <xm:sqref>B4</xm:sqref>
        </x14:dataValidation>
        <x14:dataValidation type="list" allowBlank="1" showInputMessage="1" showErrorMessage="1" xr:uid="{2E1632BB-0966-4BB7-AB1B-A35A1F836AAE}">
          <x14:formula1>
            <xm:f>'Drop-Down Menus'!$C$3:$C$79</xm:f>
          </x14:formula1>
          <xm:sqref>D4</xm:sqref>
        </x14:dataValidation>
        <x14:dataValidation type="list" allowBlank="1" showInputMessage="1" showErrorMessage="1" xr:uid="{61DBCFBC-F010-45E1-A115-1CD2038BDC63}">
          <x14:formula1>
            <xm:f>'Drop-Down Menus'!$A$3:$A$6</xm:f>
          </x14:formula1>
          <xm:sqref>I4</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8841EB-DE69-443B-AAEA-06DECF2D34F5}">
  <dimension ref="A1:M103"/>
  <sheetViews>
    <sheetView workbookViewId="0">
      <selection activeCell="N1" sqref="N1"/>
    </sheetView>
  </sheetViews>
  <sheetFormatPr defaultRowHeight="14.4" x14ac:dyDescent="0.3"/>
  <cols>
    <col min="1" max="1" width="9.5546875" customWidth="1"/>
    <col min="2" max="2" width="10.6640625" bestFit="1" customWidth="1"/>
    <col min="3" max="12" width="17.44140625" customWidth="1"/>
    <col min="13" max="13" width="21.44140625" customWidth="1"/>
  </cols>
  <sheetData>
    <row r="1" spans="1:13" ht="16.2" thickBot="1" x14ac:dyDescent="0.35">
      <c r="A1" s="64"/>
      <c r="B1" s="64"/>
      <c r="C1" s="279" t="s">
        <v>64</v>
      </c>
      <c r="D1" s="279"/>
      <c r="E1" s="279"/>
      <c r="F1" s="279"/>
      <c r="G1" s="279" t="s">
        <v>65</v>
      </c>
      <c r="H1" s="279"/>
      <c r="I1" s="279"/>
      <c r="J1" s="279"/>
      <c r="K1" s="279" t="s">
        <v>67</v>
      </c>
      <c r="L1" s="279"/>
      <c r="M1" s="279"/>
    </row>
    <row r="2" spans="1:13" ht="63" thickBot="1" x14ac:dyDescent="0.35">
      <c r="A2" s="15" t="s">
        <v>68</v>
      </c>
      <c r="B2" s="15" t="s">
        <v>69</v>
      </c>
      <c r="C2" s="15" t="s">
        <v>70</v>
      </c>
      <c r="D2" s="15" t="s">
        <v>71</v>
      </c>
      <c r="E2" s="15" t="s">
        <v>72</v>
      </c>
      <c r="F2" s="15" t="s">
        <v>73</v>
      </c>
      <c r="G2" s="15" t="s">
        <v>70</v>
      </c>
      <c r="H2" s="15" t="s">
        <v>71</v>
      </c>
      <c r="I2" s="15" t="s">
        <v>73</v>
      </c>
      <c r="J2" s="15" t="s">
        <v>73</v>
      </c>
      <c r="K2" s="15" t="s">
        <v>74</v>
      </c>
      <c r="L2" s="15" t="s">
        <v>71</v>
      </c>
      <c r="M2" s="15" t="s">
        <v>75</v>
      </c>
    </row>
    <row r="3" spans="1:13" ht="16.2" thickBot="1" x14ac:dyDescent="0.35">
      <c r="A3" s="154" t="s">
        <v>63</v>
      </c>
      <c r="B3" s="3"/>
      <c r="C3" s="155" t="e">
        <f>SUM(C4:C103)</f>
        <v>#N/A</v>
      </c>
      <c r="D3" s="156" t="e">
        <f t="shared" ref="D3" si="0">SUM(D4:D103)</f>
        <v>#N/A</v>
      </c>
      <c r="E3" s="156">
        <f>_xlfn.AGGREGATE(9,6,E4:E103)</f>
        <v>0</v>
      </c>
      <c r="F3" s="157">
        <f>('SWG Calculations'!$E$13)*(1/((1+'SWG Calculations'!$J$7)^('SWG Calculations'!$G$6-'SWG Calculations'!$J$6-1)))</f>
        <v>0</v>
      </c>
      <c r="G3" s="155" t="e">
        <f>SUM(G4:G103)</f>
        <v>#N/A</v>
      </c>
      <c r="H3" s="156" t="e">
        <f t="shared" ref="H3" si="1">SUM(H4:H103)</f>
        <v>#N/A</v>
      </c>
      <c r="I3" s="156">
        <f>_xlfn.AGGREGATE(9,6,I4:I103)</f>
        <v>0</v>
      </c>
      <c r="J3" s="157">
        <f>('SWG Calculations'!$E$14)*(1/((1+'SWG Calculations'!$J$7)^('SWG Calculations'!$G$6-'SWG Calculations'!$J$6-1)))</f>
        <v>0</v>
      </c>
      <c r="K3" s="155" t="e">
        <f>SUM(K4:K103)</f>
        <v>#N/A</v>
      </c>
      <c r="L3" s="156" t="e">
        <f t="shared" ref="L3" si="2">SUM(L4:L103)</f>
        <v>#N/A</v>
      </c>
      <c r="M3" s="157">
        <f>_xlfn.AGGREGATE(9,6,M4:M103)</f>
        <v>0</v>
      </c>
    </row>
    <row r="4" spans="1:13" ht="15.6" x14ac:dyDescent="0.3">
      <c r="A4" s="148">
        <v>1</v>
      </c>
      <c r="B4" s="63" t="e">
        <f t="array" ref="B4:B47">_xlfn.SEQUENCE('SWG Calculations'!$G$8+'SWG Calculations'!$G$7, 1, 'SWG Calculations'!$G$6-'SWG Calculations'!$J$6)</f>
        <v>#N/A</v>
      </c>
      <c r="C4" s="149" t="e" cm="1">
        <f t="array" ref="C4">_xlfn.SEQUENCE('SWG Calculations'!$G$8+'SWG Calculations'!$G$7, 1, 'SWG Calculations'!$E$13/('SWG Calculations'!$G$8+'SWG Calculations'!$G$7),0)</f>
        <v>#N/A</v>
      </c>
      <c r="D4" s="136" t="e" cm="1">
        <f t="array" ref="D4">'SWG Calculations'!$J$7*_xlfn.LAMBDA(_xlpm.i,'SWG Calculations'!$E$13-($C$4)*(_xlpm.i-1))(_xlfn.SEQUENCE('SWG Calculations'!$G$8+'SWG Calculations'!$G$7))</f>
        <v>#N/A</v>
      </c>
      <c r="E4" s="136" t="e">
        <f>(C4+D4)*(1/((1+'SWG Calculations'!$J$8)^$B4))</f>
        <v>#N/A</v>
      </c>
      <c r="F4" s="150"/>
      <c r="G4" s="149" t="e" cm="1">
        <f t="array" ref="G4">_xlfn.SEQUENCE('SWG Calculations'!$G$8+'SWG Calculations'!$G$7, 1, 'SWG Calculations'!$E$14/('SWG Calculations'!$G$8+'SWG Calculations'!$G$7),0)</f>
        <v>#N/A</v>
      </c>
      <c r="H4" s="136" t="e" cm="1">
        <f t="array" ref="H4">'SWG Calculations'!$J$7*_xlfn.LAMBDA(_xlpm.i,'SWG Calculations'!$E$14-($G$4)*(_xlpm.i-1))(_xlfn.SEQUENCE('SWG Calculations'!$G$8+'SWG Calculations'!$G$7))</f>
        <v>#N/A</v>
      </c>
      <c r="I4" s="136" t="e">
        <f>(G4+H4)*(1/((1+'SWG Calculations'!$J$8)^$B4))</f>
        <v>#N/A</v>
      </c>
      <c r="J4" s="150"/>
      <c r="K4" s="149" t="e" cm="1">
        <f t="array" ref="K4">_xlfn.SEQUENCE('SWG Calculations'!$G$8+'SWG Calculations'!$G$7, 1, 'SWG Calculations'!$G$16,0)</f>
        <v>#N/A</v>
      </c>
      <c r="L4" s="136" t="e" cm="1">
        <f t="array" ref="L4">_xlfn.SEQUENCE('SWG Calculations'!$G$8+'SWG Calculations'!$G$7, 1, K4*'SWG Calculations'!$J$7,0)</f>
        <v>#N/A</v>
      </c>
      <c r="M4" s="150" t="e">
        <f>(K4+L4)*(1/((1+'SWG Calculations'!$J$8)^$B4))</f>
        <v>#N/A</v>
      </c>
    </row>
    <row r="5" spans="1:13" ht="15.6" x14ac:dyDescent="0.3">
      <c r="A5" s="148">
        <v>2</v>
      </c>
      <c r="B5" s="63" t="e">
        <v>#N/A</v>
      </c>
      <c r="C5" s="149"/>
      <c r="D5" s="136"/>
      <c r="E5" s="136" t="e">
        <f>(C5+D5)*(1/((1+'SWG Calculations'!$J$8)^$B5))</f>
        <v>#N/A</v>
      </c>
      <c r="F5" s="150"/>
      <c r="G5" s="149"/>
      <c r="H5" s="136"/>
      <c r="I5" s="136" t="e">
        <f>(G5+H5)*(1/((1+'SWG Calculations'!$J$8)^$B5))</f>
        <v>#N/A</v>
      </c>
      <c r="J5" s="150"/>
      <c r="K5" s="149"/>
      <c r="L5" s="136"/>
      <c r="M5" s="150" t="e">
        <f>(K5+L5)*(1/((1+'SWG Calculations'!$J$8)^$B5))</f>
        <v>#N/A</v>
      </c>
    </row>
    <row r="6" spans="1:13" ht="15.6" x14ac:dyDescent="0.3">
      <c r="A6" s="148">
        <v>3</v>
      </c>
      <c r="B6" s="63" t="e">
        <v>#N/A</v>
      </c>
      <c r="C6" s="149"/>
      <c r="D6" s="136"/>
      <c r="E6" s="136" t="e">
        <f>(C6+D6)*(1/((1+'SWG Calculations'!$J$8)^$B6))</f>
        <v>#N/A</v>
      </c>
      <c r="F6" s="150"/>
      <c r="G6" s="149"/>
      <c r="H6" s="136"/>
      <c r="I6" s="136" t="e">
        <f>(G6+H6)*(1/((1+'SWG Calculations'!$J$8)^$B6))</f>
        <v>#N/A</v>
      </c>
      <c r="J6" s="150"/>
      <c r="K6" s="149"/>
      <c r="L6" s="136"/>
      <c r="M6" s="150" t="e">
        <f>(K6+L6)*(1/((1+'SWG Calculations'!$J$8)^$B6))</f>
        <v>#N/A</v>
      </c>
    </row>
    <row r="7" spans="1:13" ht="15.6" x14ac:dyDescent="0.3">
      <c r="A7" s="148">
        <v>4</v>
      </c>
      <c r="B7" s="63" t="e">
        <v>#N/A</v>
      </c>
      <c r="C7" s="149"/>
      <c r="D7" s="136"/>
      <c r="E7" s="136" t="e">
        <f>(C7+D7)*(1/((1+'SWG Calculations'!$J$8)^$B7))</f>
        <v>#N/A</v>
      </c>
      <c r="F7" s="150"/>
      <c r="G7" s="149"/>
      <c r="H7" s="136"/>
      <c r="I7" s="136" t="e">
        <f>(G7+H7)*(1/((1+'SWG Calculations'!$J$8)^$B7))</f>
        <v>#N/A</v>
      </c>
      <c r="J7" s="150"/>
      <c r="K7" s="149"/>
      <c r="L7" s="136"/>
      <c r="M7" s="150" t="e">
        <f>(K7+L7)*(1/((1+'SWG Calculations'!$J$8)^$B7))</f>
        <v>#N/A</v>
      </c>
    </row>
    <row r="8" spans="1:13" ht="15.6" x14ac:dyDescent="0.3">
      <c r="A8" s="148">
        <v>5</v>
      </c>
      <c r="B8" s="63" t="e">
        <v>#N/A</v>
      </c>
      <c r="C8" s="149"/>
      <c r="D8" s="136"/>
      <c r="E8" s="136" t="e">
        <f>(C8+D8)*(1/((1+'SWG Calculations'!$J$8)^$B8))</f>
        <v>#N/A</v>
      </c>
      <c r="F8" s="150"/>
      <c r="G8" s="149"/>
      <c r="H8" s="136"/>
      <c r="I8" s="136" t="e">
        <f>(G8+H8)*(1/((1+'SWG Calculations'!$J$8)^$B8))</f>
        <v>#N/A</v>
      </c>
      <c r="J8" s="150"/>
      <c r="K8" s="149"/>
      <c r="L8" s="136"/>
      <c r="M8" s="150" t="e">
        <f>(K8+L8)*(1/((1+'SWG Calculations'!$J$8)^$B8))</f>
        <v>#N/A</v>
      </c>
    </row>
    <row r="9" spans="1:13" ht="15.6" x14ac:dyDescent="0.3">
      <c r="A9" s="148">
        <v>6</v>
      </c>
      <c r="B9" s="63" t="e">
        <v>#N/A</v>
      </c>
      <c r="C9" s="149"/>
      <c r="D9" s="136"/>
      <c r="E9" s="136" t="e">
        <f>(C9+D9)*(1/((1+'SWG Calculations'!$J$8)^$B9))</f>
        <v>#N/A</v>
      </c>
      <c r="F9" s="150"/>
      <c r="G9" s="149"/>
      <c r="H9" s="136"/>
      <c r="I9" s="136" t="e">
        <f>(G9+H9)*(1/((1+'SWG Calculations'!$J$8)^$B9))</f>
        <v>#N/A</v>
      </c>
      <c r="J9" s="150"/>
      <c r="K9" s="149"/>
      <c r="L9" s="136"/>
      <c r="M9" s="150" t="e">
        <f>(K9+L9)*(1/((1+'SWG Calculations'!$J$8)^$B9))</f>
        <v>#N/A</v>
      </c>
    </row>
    <row r="10" spans="1:13" ht="15.6" x14ac:dyDescent="0.3">
      <c r="A10" s="148">
        <v>7</v>
      </c>
      <c r="B10" s="63" t="e">
        <v>#N/A</v>
      </c>
      <c r="C10" s="149"/>
      <c r="D10" s="136"/>
      <c r="E10" s="136" t="e">
        <f>(C10+D10)*(1/((1+'SWG Calculations'!$J$8)^$B10))</f>
        <v>#N/A</v>
      </c>
      <c r="F10" s="150"/>
      <c r="G10" s="149"/>
      <c r="H10" s="136"/>
      <c r="I10" s="136" t="e">
        <f>(G10+H10)*(1/((1+'SWG Calculations'!$J$8)^$B10))</f>
        <v>#N/A</v>
      </c>
      <c r="J10" s="150"/>
      <c r="K10" s="149"/>
      <c r="L10" s="136"/>
      <c r="M10" s="150" t="e">
        <f>(K10+L10)*(1/((1+'SWG Calculations'!$J$8)^$B10))</f>
        <v>#N/A</v>
      </c>
    </row>
    <row r="11" spans="1:13" ht="15.6" x14ac:dyDescent="0.3">
      <c r="A11" s="148">
        <v>8</v>
      </c>
      <c r="B11" s="63" t="e">
        <v>#N/A</v>
      </c>
      <c r="C11" s="149"/>
      <c r="D11" s="136"/>
      <c r="E11" s="136" t="e">
        <f>(C11+D11)*(1/((1+'SWG Calculations'!$J$8)^$B11))</f>
        <v>#N/A</v>
      </c>
      <c r="F11" s="150"/>
      <c r="G11" s="149"/>
      <c r="H11" s="136"/>
      <c r="I11" s="136" t="e">
        <f>(G11+H11)*(1/((1+'SWG Calculations'!$J$8)^$B11))</f>
        <v>#N/A</v>
      </c>
      <c r="J11" s="150"/>
      <c r="K11" s="149"/>
      <c r="L11" s="136"/>
      <c r="M11" s="150" t="e">
        <f>(K11+L11)*(1/((1+'SWG Calculations'!$J$8)^$B11))</f>
        <v>#N/A</v>
      </c>
    </row>
    <row r="12" spans="1:13" ht="15.6" x14ac:dyDescent="0.3">
      <c r="A12" s="148">
        <v>9</v>
      </c>
      <c r="B12" s="63" t="e">
        <v>#N/A</v>
      </c>
      <c r="C12" s="149"/>
      <c r="D12" s="136"/>
      <c r="E12" s="136" t="e">
        <f>(C12+D12)*(1/((1+'SWG Calculations'!$J$8)^$B12))</f>
        <v>#N/A</v>
      </c>
      <c r="F12" s="150"/>
      <c r="G12" s="149"/>
      <c r="H12" s="136"/>
      <c r="I12" s="136" t="e">
        <f>(G12+H12)*(1/((1+'SWG Calculations'!$J$8)^$B12))</f>
        <v>#N/A</v>
      </c>
      <c r="J12" s="150"/>
      <c r="K12" s="149"/>
      <c r="L12" s="136"/>
      <c r="M12" s="150" t="e">
        <f>(K12+L12)*(1/((1+'SWG Calculations'!$J$8)^$B12))</f>
        <v>#N/A</v>
      </c>
    </row>
    <row r="13" spans="1:13" ht="15.6" x14ac:dyDescent="0.3">
      <c r="A13" s="148">
        <v>10</v>
      </c>
      <c r="B13" s="63" t="e">
        <v>#N/A</v>
      </c>
      <c r="C13" s="149"/>
      <c r="D13" s="136"/>
      <c r="E13" s="136" t="e">
        <f>(C13+D13)*(1/((1+'SWG Calculations'!$J$8)^$B13))</f>
        <v>#N/A</v>
      </c>
      <c r="F13" s="150"/>
      <c r="G13" s="149"/>
      <c r="H13" s="136"/>
      <c r="I13" s="136" t="e">
        <f>(G13+H13)*(1/((1+'SWG Calculations'!$J$8)^$B13))</f>
        <v>#N/A</v>
      </c>
      <c r="J13" s="150"/>
      <c r="K13" s="149"/>
      <c r="L13" s="136"/>
      <c r="M13" s="150" t="e">
        <f>(K13+L13)*(1/((1+'SWG Calculations'!$J$8)^$B13))</f>
        <v>#N/A</v>
      </c>
    </row>
    <row r="14" spans="1:13" ht="15.6" x14ac:dyDescent="0.3">
      <c r="A14" s="148">
        <v>11</v>
      </c>
      <c r="B14" s="63" t="e">
        <v>#N/A</v>
      </c>
      <c r="C14" s="149"/>
      <c r="D14" s="136"/>
      <c r="E14" s="136" t="e">
        <f>(C14+D14)*(1/((1+'SWG Calculations'!$J$8)^$B14))</f>
        <v>#N/A</v>
      </c>
      <c r="F14" s="150"/>
      <c r="G14" s="149"/>
      <c r="H14" s="136"/>
      <c r="I14" s="136" t="e">
        <f>(G14+H14)*(1/((1+'SWG Calculations'!$J$8)^$B14))</f>
        <v>#N/A</v>
      </c>
      <c r="J14" s="150"/>
      <c r="K14" s="149"/>
      <c r="L14" s="136"/>
      <c r="M14" s="150" t="e">
        <f>(K14+L14)*(1/((1+'SWG Calculations'!$J$8)^$B14))</f>
        <v>#N/A</v>
      </c>
    </row>
    <row r="15" spans="1:13" ht="15.6" x14ac:dyDescent="0.3">
      <c r="A15" s="148">
        <v>12</v>
      </c>
      <c r="B15" s="63" t="e">
        <v>#N/A</v>
      </c>
      <c r="C15" s="149"/>
      <c r="D15" s="136"/>
      <c r="E15" s="136" t="e">
        <f>(C15+D15)*(1/((1+'SWG Calculations'!$J$8)^$B15))</f>
        <v>#N/A</v>
      </c>
      <c r="F15" s="150"/>
      <c r="G15" s="149"/>
      <c r="H15" s="136"/>
      <c r="I15" s="136" t="e">
        <f>(G15+H15)*(1/((1+'SWG Calculations'!$J$8)^$B15))</f>
        <v>#N/A</v>
      </c>
      <c r="J15" s="150"/>
      <c r="K15" s="149"/>
      <c r="L15" s="136"/>
      <c r="M15" s="150" t="e">
        <f>(K15+L15)*(1/((1+'SWG Calculations'!$J$8)^$B15))</f>
        <v>#N/A</v>
      </c>
    </row>
    <row r="16" spans="1:13" ht="15.6" x14ac:dyDescent="0.3">
      <c r="A16" s="148">
        <v>13</v>
      </c>
      <c r="B16" s="63" t="e">
        <v>#N/A</v>
      </c>
      <c r="C16" s="149"/>
      <c r="D16" s="136"/>
      <c r="E16" s="136" t="e">
        <f>(C16+D16)*(1/((1+'SWG Calculations'!$J$8)^$B16))</f>
        <v>#N/A</v>
      </c>
      <c r="F16" s="150"/>
      <c r="G16" s="149"/>
      <c r="H16" s="136"/>
      <c r="I16" s="136" t="e">
        <f>(G16+H16)*(1/((1+'SWG Calculations'!$J$8)^$B16))</f>
        <v>#N/A</v>
      </c>
      <c r="J16" s="150"/>
      <c r="K16" s="149"/>
      <c r="L16" s="136"/>
      <c r="M16" s="150" t="e">
        <f>(K16+L16)*(1/((1+'SWG Calculations'!$J$8)^$B16))</f>
        <v>#N/A</v>
      </c>
    </row>
    <row r="17" spans="1:13" ht="15.6" x14ac:dyDescent="0.3">
      <c r="A17" s="148">
        <v>14</v>
      </c>
      <c r="B17" s="63" t="e">
        <v>#N/A</v>
      </c>
      <c r="C17" s="149"/>
      <c r="D17" s="136"/>
      <c r="E17" s="136" t="e">
        <f>(C17+D17)*(1/((1+'SWG Calculations'!$J$8)^$B17))</f>
        <v>#N/A</v>
      </c>
      <c r="F17" s="150"/>
      <c r="G17" s="149"/>
      <c r="H17" s="136"/>
      <c r="I17" s="136" t="e">
        <f>(G17+H17)*(1/((1+'SWG Calculations'!$J$8)^$B17))</f>
        <v>#N/A</v>
      </c>
      <c r="J17" s="150"/>
      <c r="K17" s="149"/>
      <c r="L17" s="136"/>
      <c r="M17" s="150" t="e">
        <f>(K17+L17)*(1/((1+'SWG Calculations'!$J$8)^$B17))</f>
        <v>#N/A</v>
      </c>
    </row>
    <row r="18" spans="1:13" ht="15.6" x14ac:dyDescent="0.3">
      <c r="A18" s="148">
        <v>15</v>
      </c>
      <c r="B18" s="63" t="e">
        <v>#N/A</v>
      </c>
      <c r="C18" s="149"/>
      <c r="D18" s="136"/>
      <c r="E18" s="136" t="e">
        <f>(C18+D18)*(1/((1+'SWG Calculations'!$J$8)^$B18))</f>
        <v>#N/A</v>
      </c>
      <c r="F18" s="150"/>
      <c r="G18" s="149"/>
      <c r="H18" s="136"/>
      <c r="I18" s="136" t="e">
        <f>(G18+H18)*(1/((1+'SWG Calculations'!$J$8)^$B18))</f>
        <v>#N/A</v>
      </c>
      <c r="J18" s="150"/>
      <c r="K18" s="149"/>
      <c r="L18" s="136"/>
      <c r="M18" s="150" t="e">
        <f>(K18+L18)*(1/((1+'SWG Calculations'!$J$8)^$B18))</f>
        <v>#N/A</v>
      </c>
    </row>
    <row r="19" spans="1:13" ht="15.6" x14ac:dyDescent="0.3">
      <c r="A19" s="148">
        <v>16</v>
      </c>
      <c r="B19" s="63" t="e">
        <v>#N/A</v>
      </c>
      <c r="C19" s="149"/>
      <c r="D19" s="136"/>
      <c r="E19" s="136" t="e">
        <f>(C19+D19)*(1/((1+'SWG Calculations'!$J$8)^$B19))</f>
        <v>#N/A</v>
      </c>
      <c r="F19" s="150"/>
      <c r="G19" s="149"/>
      <c r="H19" s="136"/>
      <c r="I19" s="136" t="e">
        <f>(G19+H19)*(1/((1+'SWG Calculations'!$J$8)^$B19))</f>
        <v>#N/A</v>
      </c>
      <c r="J19" s="150"/>
      <c r="K19" s="149"/>
      <c r="L19" s="136"/>
      <c r="M19" s="150" t="e">
        <f>(K19+L19)*(1/((1+'SWG Calculations'!$J$8)^$B19))</f>
        <v>#N/A</v>
      </c>
    </row>
    <row r="20" spans="1:13" ht="15.6" x14ac:dyDescent="0.3">
      <c r="A20" s="148">
        <v>17</v>
      </c>
      <c r="B20" s="63" t="e">
        <v>#N/A</v>
      </c>
      <c r="C20" s="149"/>
      <c r="D20" s="136"/>
      <c r="E20" s="136" t="e">
        <f>(C20+D20)*(1/((1+'SWG Calculations'!$J$8)^$B20))</f>
        <v>#N/A</v>
      </c>
      <c r="F20" s="150"/>
      <c r="G20" s="149"/>
      <c r="H20" s="136"/>
      <c r="I20" s="136" t="e">
        <f>(G20+H20)*(1/((1+'SWG Calculations'!$J$8)^$B20))</f>
        <v>#N/A</v>
      </c>
      <c r="J20" s="150"/>
      <c r="K20" s="149"/>
      <c r="L20" s="136"/>
      <c r="M20" s="150" t="e">
        <f>(K20+L20)*(1/((1+'SWG Calculations'!$J$8)^$B20))</f>
        <v>#N/A</v>
      </c>
    </row>
    <row r="21" spans="1:13" ht="15.6" x14ac:dyDescent="0.3">
      <c r="A21" s="148">
        <v>18</v>
      </c>
      <c r="B21" s="63" t="e">
        <v>#N/A</v>
      </c>
      <c r="C21" s="149"/>
      <c r="D21" s="136"/>
      <c r="E21" s="136" t="e">
        <f>(C21+D21)*(1/((1+'SWG Calculations'!$J$8)^$B21))</f>
        <v>#N/A</v>
      </c>
      <c r="F21" s="150"/>
      <c r="G21" s="149"/>
      <c r="H21" s="136"/>
      <c r="I21" s="136" t="e">
        <f>(G21+H21)*(1/((1+'SWG Calculations'!$J$8)^$B21))</f>
        <v>#N/A</v>
      </c>
      <c r="J21" s="150"/>
      <c r="K21" s="149"/>
      <c r="L21" s="136"/>
      <c r="M21" s="150" t="e">
        <f>(K21+L21)*(1/((1+'SWG Calculations'!$J$8)^$B21))</f>
        <v>#N/A</v>
      </c>
    </row>
    <row r="22" spans="1:13" ht="15.6" x14ac:dyDescent="0.3">
      <c r="A22" s="148">
        <v>19</v>
      </c>
      <c r="B22" s="63" t="e">
        <v>#N/A</v>
      </c>
      <c r="C22" s="149"/>
      <c r="D22" s="136"/>
      <c r="E22" s="136" t="e">
        <f>(C22+D22)*(1/((1+'SWG Calculations'!$J$8)^$B22))</f>
        <v>#N/A</v>
      </c>
      <c r="F22" s="150"/>
      <c r="G22" s="149"/>
      <c r="H22" s="136"/>
      <c r="I22" s="136" t="e">
        <f>(G22+H22)*(1/((1+'SWG Calculations'!$J$8)^$B22))</f>
        <v>#N/A</v>
      </c>
      <c r="J22" s="150"/>
      <c r="K22" s="149"/>
      <c r="L22" s="136"/>
      <c r="M22" s="150" t="e">
        <f>(K22+L22)*(1/((1+'SWG Calculations'!$J$8)^$B22))</f>
        <v>#N/A</v>
      </c>
    </row>
    <row r="23" spans="1:13" ht="15.6" x14ac:dyDescent="0.3">
      <c r="A23" s="148">
        <v>20</v>
      </c>
      <c r="B23" s="63" t="e">
        <v>#N/A</v>
      </c>
      <c r="C23" s="149"/>
      <c r="D23" s="136"/>
      <c r="E23" s="136" t="e">
        <f>(C23+D23)*(1/((1+'SWG Calculations'!$J$8)^$B23))</f>
        <v>#N/A</v>
      </c>
      <c r="F23" s="150"/>
      <c r="G23" s="149"/>
      <c r="H23" s="136"/>
      <c r="I23" s="136" t="e">
        <f>(G23+H23)*(1/((1+'SWG Calculations'!$J$8)^$B23))</f>
        <v>#N/A</v>
      </c>
      <c r="J23" s="150"/>
      <c r="K23" s="149"/>
      <c r="L23" s="136"/>
      <c r="M23" s="150" t="e">
        <f>(K23+L23)*(1/((1+'SWG Calculations'!$J$8)^$B23))</f>
        <v>#N/A</v>
      </c>
    </row>
    <row r="24" spans="1:13" ht="15.6" x14ac:dyDescent="0.3">
      <c r="A24" s="148">
        <v>21</v>
      </c>
      <c r="B24" s="63" t="e">
        <v>#N/A</v>
      </c>
      <c r="C24" s="149"/>
      <c r="D24" s="136"/>
      <c r="E24" s="136" t="e">
        <f>(C24+D24)*(1/((1+'SWG Calculations'!$J$8)^$B24))</f>
        <v>#N/A</v>
      </c>
      <c r="F24" s="150"/>
      <c r="G24" s="149"/>
      <c r="H24" s="136"/>
      <c r="I24" s="136" t="e">
        <f>(G24+H24)*(1/((1+'SWG Calculations'!$J$8)^$B24))</f>
        <v>#N/A</v>
      </c>
      <c r="J24" s="150"/>
      <c r="K24" s="149"/>
      <c r="L24" s="136"/>
      <c r="M24" s="150" t="e">
        <f>(K24+L24)*(1/((1+'SWG Calculations'!$J$8)^$B24))</f>
        <v>#N/A</v>
      </c>
    </row>
    <row r="25" spans="1:13" ht="15.6" x14ac:dyDescent="0.3">
      <c r="A25" s="148">
        <v>22</v>
      </c>
      <c r="B25" s="63" t="e">
        <v>#N/A</v>
      </c>
      <c r="C25" s="149"/>
      <c r="D25" s="136"/>
      <c r="E25" s="136" t="e">
        <f>(C25+D25)*(1/((1+'SWG Calculations'!$J$8)^$B25))</f>
        <v>#N/A</v>
      </c>
      <c r="F25" s="150"/>
      <c r="G25" s="149"/>
      <c r="H25" s="136"/>
      <c r="I25" s="136" t="e">
        <f>(G25+H25)*(1/((1+'SWG Calculations'!$J$8)^$B25))</f>
        <v>#N/A</v>
      </c>
      <c r="J25" s="150"/>
      <c r="K25" s="149"/>
      <c r="L25" s="136"/>
      <c r="M25" s="150" t="e">
        <f>(K25+L25)*(1/((1+'SWG Calculations'!$J$8)^$B25))</f>
        <v>#N/A</v>
      </c>
    </row>
    <row r="26" spans="1:13" ht="15.6" x14ac:dyDescent="0.3">
      <c r="A26" s="148">
        <v>23</v>
      </c>
      <c r="B26" s="63" t="e">
        <v>#N/A</v>
      </c>
      <c r="C26" s="149"/>
      <c r="D26" s="136"/>
      <c r="E26" s="136" t="e">
        <f>(C26+D26)*(1/((1+'SWG Calculations'!$J$8)^$B26))</f>
        <v>#N/A</v>
      </c>
      <c r="F26" s="150"/>
      <c r="G26" s="149"/>
      <c r="H26" s="136"/>
      <c r="I26" s="136" t="e">
        <f>(G26+H26)*(1/((1+'SWG Calculations'!$J$8)^$B26))</f>
        <v>#N/A</v>
      </c>
      <c r="J26" s="150"/>
      <c r="K26" s="149"/>
      <c r="L26" s="136"/>
      <c r="M26" s="150" t="e">
        <f>(K26+L26)*(1/((1+'SWG Calculations'!$J$8)^$B26))</f>
        <v>#N/A</v>
      </c>
    </row>
    <row r="27" spans="1:13" ht="15.6" x14ac:dyDescent="0.3">
      <c r="A27" s="148">
        <v>24</v>
      </c>
      <c r="B27" s="63" t="e">
        <v>#N/A</v>
      </c>
      <c r="C27" s="149"/>
      <c r="D27" s="136"/>
      <c r="E27" s="136" t="e">
        <f>(C27+D27)*(1/((1+'SWG Calculations'!$J$8)^$B27))</f>
        <v>#N/A</v>
      </c>
      <c r="F27" s="150"/>
      <c r="G27" s="149"/>
      <c r="H27" s="136"/>
      <c r="I27" s="136" t="e">
        <f>(G27+H27)*(1/((1+'SWG Calculations'!$J$8)^$B27))</f>
        <v>#N/A</v>
      </c>
      <c r="J27" s="150"/>
      <c r="K27" s="149"/>
      <c r="L27" s="136"/>
      <c r="M27" s="150" t="e">
        <f>(K27+L27)*(1/((1+'SWG Calculations'!$J$8)^$B27))</f>
        <v>#N/A</v>
      </c>
    </row>
    <row r="28" spans="1:13" ht="15.6" x14ac:dyDescent="0.3">
      <c r="A28" s="148">
        <v>25</v>
      </c>
      <c r="B28" s="63" t="e">
        <v>#N/A</v>
      </c>
      <c r="C28" s="149"/>
      <c r="D28" s="136"/>
      <c r="E28" s="136" t="e">
        <f>(C28+D28)*(1/((1+'SWG Calculations'!$J$8)^$B28))</f>
        <v>#N/A</v>
      </c>
      <c r="F28" s="150"/>
      <c r="G28" s="149"/>
      <c r="H28" s="136"/>
      <c r="I28" s="136" t="e">
        <f>(G28+H28)*(1/((1+'SWG Calculations'!$J$8)^$B28))</f>
        <v>#N/A</v>
      </c>
      <c r="J28" s="150"/>
      <c r="K28" s="149"/>
      <c r="L28" s="136"/>
      <c r="M28" s="150" t="e">
        <f>(K28+L28)*(1/((1+'SWG Calculations'!$J$8)^$B28))</f>
        <v>#N/A</v>
      </c>
    </row>
    <row r="29" spans="1:13" ht="15.6" x14ac:dyDescent="0.3">
      <c r="A29" s="148">
        <v>26</v>
      </c>
      <c r="B29" s="63" t="e">
        <v>#N/A</v>
      </c>
      <c r="C29" s="149"/>
      <c r="D29" s="136"/>
      <c r="E29" s="136" t="e">
        <f>(C29+D29)*(1/((1+'SWG Calculations'!$J$8)^$B29))</f>
        <v>#N/A</v>
      </c>
      <c r="F29" s="150"/>
      <c r="G29" s="149"/>
      <c r="H29" s="136"/>
      <c r="I29" s="136" t="e">
        <f>(G29+H29)*(1/((1+'SWG Calculations'!$J$8)^$B29))</f>
        <v>#N/A</v>
      </c>
      <c r="J29" s="150"/>
      <c r="K29" s="149"/>
      <c r="L29" s="136"/>
      <c r="M29" s="150" t="e">
        <f>(K29+L29)*(1/((1+'SWG Calculations'!$J$8)^$B29))</f>
        <v>#N/A</v>
      </c>
    </row>
    <row r="30" spans="1:13" ht="15.6" x14ac:dyDescent="0.3">
      <c r="A30" s="148">
        <v>27</v>
      </c>
      <c r="B30" s="63" t="e">
        <v>#N/A</v>
      </c>
      <c r="C30" s="149"/>
      <c r="D30" s="136"/>
      <c r="E30" s="136" t="e">
        <f>(C30+D30)*(1/((1+'SWG Calculations'!$J$8)^$B30))</f>
        <v>#N/A</v>
      </c>
      <c r="F30" s="150"/>
      <c r="G30" s="149"/>
      <c r="H30" s="136"/>
      <c r="I30" s="136" t="e">
        <f>(G30+H30)*(1/((1+'SWG Calculations'!$J$8)^$B30))</f>
        <v>#N/A</v>
      </c>
      <c r="J30" s="150"/>
      <c r="K30" s="149"/>
      <c r="L30" s="136"/>
      <c r="M30" s="150" t="e">
        <f>(K30+L30)*(1/((1+'SWG Calculations'!$J$8)^$B30))</f>
        <v>#N/A</v>
      </c>
    </row>
    <row r="31" spans="1:13" ht="15.6" x14ac:dyDescent="0.3">
      <c r="A31" s="148">
        <v>28</v>
      </c>
      <c r="B31" s="63" t="e">
        <v>#N/A</v>
      </c>
      <c r="C31" s="149"/>
      <c r="D31" s="136"/>
      <c r="E31" s="136" t="e">
        <f>(C31+D31)*(1/((1+'SWG Calculations'!$J$8)^$B31))</f>
        <v>#N/A</v>
      </c>
      <c r="F31" s="150"/>
      <c r="G31" s="149"/>
      <c r="H31" s="136"/>
      <c r="I31" s="136" t="e">
        <f>(G31+H31)*(1/((1+'SWG Calculations'!$J$8)^$B31))</f>
        <v>#N/A</v>
      </c>
      <c r="J31" s="150"/>
      <c r="K31" s="149"/>
      <c r="L31" s="136"/>
      <c r="M31" s="150" t="e">
        <f>(K31+L31)*(1/((1+'SWG Calculations'!$J$8)^$B31))</f>
        <v>#N/A</v>
      </c>
    </row>
    <row r="32" spans="1:13" ht="15.6" x14ac:dyDescent="0.3">
      <c r="A32" s="148">
        <v>29</v>
      </c>
      <c r="B32" s="63" t="e">
        <v>#N/A</v>
      </c>
      <c r="C32" s="149"/>
      <c r="D32" s="136"/>
      <c r="E32" s="136" t="e">
        <f>(C32+D32)*(1/((1+'SWG Calculations'!$J$8)^$B32))</f>
        <v>#N/A</v>
      </c>
      <c r="F32" s="150"/>
      <c r="G32" s="149"/>
      <c r="H32" s="136"/>
      <c r="I32" s="136" t="e">
        <f>(G32+H32)*(1/((1+'SWG Calculations'!$J$8)^$B32))</f>
        <v>#N/A</v>
      </c>
      <c r="J32" s="150"/>
      <c r="K32" s="149"/>
      <c r="L32" s="136"/>
      <c r="M32" s="150" t="e">
        <f>(K32+L32)*(1/((1+'SWG Calculations'!$J$8)^$B32))</f>
        <v>#N/A</v>
      </c>
    </row>
    <row r="33" spans="1:13" ht="15.6" x14ac:dyDescent="0.3">
      <c r="A33" s="148">
        <v>30</v>
      </c>
      <c r="B33" s="63" t="e">
        <v>#N/A</v>
      </c>
      <c r="C33" s="149"/>
      <c r="D33" s="136"/>
      <c r="E33" s="136" t="e">
        <f>(C33+D33)*(1/((1+'SWG Calculations'!$J$8)^$B33))</f>
        <v>#N/A</v>
      </c>
      <c r="F33" s="150"/>
      <c r="G33" s="149"/>
      <c r="H33" s="136"/>
      <c r="I33" s="136" t="e">
        <f>(G33+H33)*(1/((1+'SWG Calculations'!$J$8)^$B33))</f>
        <v>#N/A</v>
      </c>
      <c r="J33" s="150"/>
      <c r="K33" s="149"/>
      <c r="L33" s="136"/>
      <c r="M33" s="150" t="e">
        <f>(K33+L33)*(1/((1+'SWG Calculations'!$J$8)^$B33))</f>
        <v>#N/A</v>
      </c>
    </row>
    <row r="34" spans="1:13" ht="15.6" x14ac:dyDescent="0.3">
      <c r="A34" s="148">
        <v>31</v>
      </c>
      <c r="B34" s="63" t="e">
        <v>#N/A</v>
      </c>
      <c r="C34" s="149"/>
      <c r="D34" s="136"/>
      <c r="E34" s="136" t="e">
        <f>(C34+D34)*(1/((1+'SWG Calculations'!$J$8)^$B34))</f>
        <v>#N/A</v>
      </c>
      <c r="F34" s="150"/>
      <c r="G34" s="149"/>
      <c r="H34" s="136"/>
      <c r="I34" s="136" t="e">
        <f>(G34+H34)*(1/((1+'SWG Calculations'!$J$8)^$B34))</f>
        <v>#N/A</v>
      </c>
      <c r="J34" s="150"/>
      <c r="K34" s="149"/>
      <c r="L34" s="136"/>
      <c r="M34" s="150" t="e">
        <f>(K34+L34)*(1/((1+'SWG Calculations'!$J$8)^$B34))</f>
        <v>#N/A</v>
      </c>
    </row>
    <row r="35" spans="1:13" ht="15.6" x14ac:dyDescent="0.3">
      <c r="A35" s="148">
        <v>32</v>
      </c>
      <c r="B35" s="63" t="e">
        <v>#N/A</v>
      </c>
      <c r="C35" s="149"/>
      <c r="D35" s="136"/>
      <c r="E35" s="136" t="e">
        <f>(C35+D35)*(1/((1+'SWG Calculations'!$J$8)^$B35))</f>
        <v>#N/A</v>
      </c>
      <c r="F35" s="150"/>
      <c r="G35" s="149"/>
      <c r="H35" s="136"/>
      <c r="I35" s="136" t="e">
        <f>(G35+H35)*(1/((1+'SWG Calculations'!$J$8)^$B35))</f>
        <v>#N/A</v>
      </c>
      <c r="J35" s="150"/>
      <c r="K35" s="149"/>
      <c r="L35" s="136"/>
      <c r="M35" s="150" t="e">
        <f>(K35+L35)*(1/((1+'SWG Calculations'!$J$8)^$B35))</f>
        <v>#N/A</v>
      </c>
    </row>
    <row r="36" spans="1:13" ht="15.6" x14ac:dyDescent="0.3">
      <c r="A36" s="148">
        <v>33</v>
      </c>
      <c r="B36" s="63" t="e">
        <v>#N/A</v>
      </c>
      <c r="C36" s="149"/>
      <c r="D36" s="136"/>
      <c r="E36" s="136" t="e">
        <f>(C36+D36)*(1/((1+'SWG Calculations'!$J$8)^$B36))</f>
        <v>#N/A</v>
      </c>
      <c r="F36" s="150"/>
      <c r="G36" s="149"/>
      <c r="H36" s="136"/>
      <c r="I36" s="136" t="e">
        <f>(G36+H36)*(1/((1+'SWG Calculations'!$J$8)^$B36))</f>
        <v>#N/A</v>
      </c>
      <c r="J36" s="150"/>
      <c r="K36" s="149"/>
      <c r="L36" s="136"/>
      <c r="M36" s="150" t="e">
        <f>(K36+L36)*(1/((1+'SWG Calculations'!$J$8)^$B36))</f>
        <v>#N/A</v>
      </c>
    </row>
    <row r="37" spans="1:13" ht="15.6" x14ac:dyDescent="0.3">
      <c r="A37" s="148">
        <v>34</v>
      </c>
      <c r="B37" s="63" t="e">
        <v>#N/A</v>
      </c>
      <c r="C37" s="149"/>
      <c r="D37" s="136"/>
      <c r="E37" s="136" t="e">
        <f>(C37+D37)*(1/((1+'SWG Calculations'!$J$8)^$B37))</f>
        <v>#N/A</v>
      </c>
      <c r="F37" s="150"/>
      <c r="G37" s="149"/>
      <c r="H37" s="136"/>
      <c r="I37" s="136" t="e">
        <f>(G37+H37)*(1/((1+'SWG Calculations'!$J$8)^$B37))</f>
        <v>#N/A</v>
      </c>
      <c r="J37" s="150"/>
      <c r="K37" s="149"/>
      <c r="L37" s="136"/>
      <c r="M37" s="150" t="e">
        <f>(K37+L37)*(1/((1+'SWG Calculations'!$J$8)^$B37))</f>
        <v>#N/A</v>
      </c>
    </row>
    <row r="38" spans="1:13" ht="15.6" x14ac:dyDescent="0.3">
      <c r="A38" s="148">
        <v>35</v>
      </c>
      <c r="B38" s="63" t="e">
        <v>#N/A</v>
      </c>
      <c r="C38" s="149"/>
      <c r="D38" s="136"/>
      <c r="E38" s="136" t="e">
        <f>(C38+D38)*(1/((1+'SWG Calculations'!$J$8)^$B38))</f>
        <v>#N/A</v>
      </c>
      <c r="F38" s="150"/>
      <c r="G38" s="149"/>
      <c r="H38" s="136"/>
      <c r="I38" s="136" t="e">
        <f>(G38+H38)*(1/((1+'SWG Calculations'!$J$8)^$B38))</f>
        <v>#N/A</v>
      </c>
      <c r="J38" s="150"/>
      <c r="K38" s="149"/>
      <c r="L38" s="136"/>
      <c r="M38" s="150" t="e">
        <f>(K38+L38)*(1/((1+'SWG Calculations'!$J$8)^$B38))</f>
        <v>#N/A</v>
      </c>
    </row>
    <row r="39" spans="1:13" ht="15.6" x14ac:dyDescent="0.3">
      <c r="A39" s="148">
        <v>36</v>
      </c>
      <c r="B39" s="63" t="e">
        <v>#N/A</v>
      </c>
      <c r="C39" s="149"/>
      <c r="D39" s="136"/>
      <c r="E39" s="136" t="e">
        <f>(C39+D39)*(1/((1+'SWG Calculations'!$J$8)^$B39))</f>
        <v>#N/A</v>
      </c>
      <c r="F39" s="150"/>
      <c r="G39" s="149"/>
      <c r="H39" s="136"/>
      <c r="I39" s="136" t="e">
        <f>(G39+H39)*(1/((1+'SWG Calculations'!$J$8)^$B39))</f>
        <v>#N/A</v>
      </c>
      <c r="J39" s="150"/>
      <c r="K39" s="149"/>
      <c r="L39" s="136"/>
      <c r="M39" s="150" t="e">
        <f>(K39+L39)*(1/((1+'SWG Calculations'!$J$8)^$B39))</f>
        <v>#N/A</v>
      </c>
    </row>
    <row r="40" spans="1:13" ht="15.6" x14ac:dyDescent="0.3">
      <c r="A40" s="148">
        <v>37</v>
      </c>
      <c r="B40" s="63" t="e">
        <v>#N/A</v>
      </c>
      <c r="C40" s="149"/>
      <c r="D40" s="136"/>
      <c r="E40" s="136" t="e">
        <f>(C40+D40)*(1/((1+'SWG Calculations'!$J$8)^$B40))</f>
        <v>#N/A</v>
      </c>
      <c r="F40" s="150"/>
      <c r="G40" s="149"/>
      <c r="H40" s="136"/>
      <c r="I40" s="136" t="e">
        <f>(G40+H40)*(1/((1+'SWG Calculations'!$J$8)^$B40))</f>
        <v>#N/A</v>
      </c>
      <c r="J40" s="150"/>
      <c r="K40" s="149"/>
      <c r="L40" s="136"/>
      <c r="M40" s="150" t="e">
        <f>(K40+L40)*(1/((1+'SWG Calculations'!$J$8)^$B40))</f>
        <v>#N/A</v>
      </c>
    </row>
    <row r="41" spans="1:13" ht="15.6" x14ac:dyDescent="0.3">
      <c r="A41" s="148">
        <v>38</v>
      </c>
      <c r="B41" s="63" t="e">
        <v>#N/A</v>
      </c>
      <c r="C41" s="149"/>
      <c r="D41" s="136"/>
      <c r="E41" s="136" t="e">
        <f>(C41+D41)*(1/((1+'SWG Calculations'!$J$8)^$B41))</f>
        <v>#N/A</v>
      </c>
      <c r="F41" s="150"/>
      <c r="G41" s="149"/>
      <c r="H41" s="136"/>
      <c r="I41" s="136" t="e">
        <f>(G41+H41)*(1/((1+'SWG Calculations'!$J$8)^$B41))</f>
        <v>#N/A</v>
      </c>
      <c r="J41" s="150"/>
      <c r="K41" s="149"/>
      <c r="L41" s="136"/>
      <c r="M41" s="150" t="e">
        <f>(K41+L41)*(1/((1+'SWG Calculations'!$J$8)^$B41))</f>
        <v>#N/A</v>
      </c>
    </row>
    <row r="42" spans="1:13" ht="15.6" x14ac:dyDescent="0.3">
      <c r="A42" s="148">
        <v>39</v>
      </c>
      <c r="B42" s="63" t="e">
        <v>#N/A</v>
      </c>
      <c r="C42" s="149"/>
      <c r="D42" s="136"/>
      <c r="E42" s="136" t="e">
        <f>(C42+D42)*(1/((1+'SWG Calculations'!$J$8)^$B42))</f>
        <v>#N/A</v>
      </c>
      <c r="F42" s="150"/>
      <c r="G42" s="149"/>
      <c r="H42" s="136"/>
      <c r="I42" s="136" t="e">
        <f>(G42+H42)*(1/((1+'SWG Calculations'!$J$8)^$B42))</f>
        <v>#N/A</v>
      </c>
      <c r="J42" s="150"/>
      <c r="K42" s="149"/>
      <c r="L42" s="136"/>
      <c r="M42" s="150" t="e">
        <f>(K42+L42)*(1/((1+'SWG Calculations'!$J$8)^$B42))</f>
        <v>#N/A</v>
      </c>
    </row>
    <row r="43" spans="1:13" ht="15.6" x14ac:dyDescent="0.3">
      <c r="A43" s="148">
        <v>40</v>
      </c>
      <c r="B43" s="63" t="e">
        <v>#N/A</v>
      </c>
      <c r="C43" s="149"/>
      <c r="D43" s="136"/>
      <c r="E43" s="136" t="e">
        <f>(C43+D43)*(1/((1+'SWG Calculations'!$J$8)^$B43))</f>
        <v>#N/A</v>
      </c>
      <c r="F43" s="150"/>
      <c r="G43" s="149"/>
      <c r="H43" s="136"/>
      <c r="I43" s="136" t="e">
        <f>(G43+H43)*(1/((1+'SWG Calculations'!$J$8)^$B43))</f>
        <v>#N/A</v>
      </c>
      <c r="J43" s="150"/>
      <c r="K43" s="149"/>
      <c r="L43" s="136"/>
      <c r="M43" s="150" t="e">
        <f>(K43+L43)*(1/((1+'SWG Calculations'!$J$8)^$B43))</f>
        <v>#N/A</v>
      </c>
    </row>
    <row r="44" spans="1:13" ht="15.6" x14ac:dyDescent="0.3">
      <c r="A44" s="148">
        <v>41</v>
      </c>
      <c r="B44" s="63" t="e">
        <v>#N/A</v>
      </c>
      <c r="C44" s="149"/>
      <c r="D44" s="136"/>
      <c r="E44" s="136" t="e">
        <f>(C44+D44)*(1/((1+'SWG Calculations'!$J$8)^$B44))</f>
        <v>#N/A</v>
      </c>
      <c r="F44" s="150"/>
      <c r="G44" s="149"/>
      <c r="H44" s="136"/>
      <c r="I44" s="136" t="e">
        <f>(G44+H44)*(1/((1+'SWG Calculations'!$J$8)^$B44))</f>
        <v>#N/A</v>
      </c>
      <c r="J44" s="150"/>
      <c r="K44" s="149"/>
      <c r="L44" s="136"/>
      <c r="M44" s="150" t="e">
        <f>(K44+L44)*(1/((1+'SWG Calculations'!$J$8)^$B44))</f>
        <v>#N/A</v>
      </c>
    </row>
    <row r="45" spans="1:13" ht="15.6" x14ac:dyDescent="0.3">
      <c r="A45" s="148">
        <v>42</v>
      </c>
      <c r="B45" s="63" t="e">
        <v>#N/A</v>
      </c>
      <c r="C45" s="149"/>
      <c r="D45" s="136"/>
      <c r="E45" s="136" t="e">
        <f>(C45+D45)*(1/((1+'SWG Calculations'!$J$8)^$B45))</f>
        <v>#N/A</v>
      </c>
      <c r="F45" s="150"/>
      <c r="G45" s="149"/>
      <c r="H45" s="136"/>
      <c r="I45" s="136" t="e">
        <f>(G45+H45)*(1/((1+'SWG Calculations'!$J$8)^$B45))</f>
        <v>#N/A</v>
      </c>
      <c r="J45" s="150"/>
      <c r="K45" s="149"/>
      <c r="L45" s="136"/>
      <c r="M45" s="150" t="e">
        <f>(K45+L45)*(1/((1+'SWG Calculations'!$J$8)^$B45))</f>
        <v>#N/A</v>
      </c>
    </row>
    <row r="46" spans="1:13" ht="15.6" x14ac:dyDescent="0.3">
      <c r="A46" s="148">
        <v>43</v>
      </c>
      <c r="B46" s="63" t="e">
        <v>#N/A</v>
      </c>
      <c r="C46" s="149"/>
      <c r="D46" s="136"/>
      <c r="E46" s="136" t="e">
        <f>(C46+D46)*(1/((1+'SWG Calculations'!$J$8)^$B46))</f>
        <v>#N/A</v>
      </c>
      <c r="F46" s="150"/>
      <c r="G46" s="149"/>
      <c r="H46" s="136"/>
      <c r="I46" s="136" t="e">
        <f>(G46+H46)*(1/((1+'SWG Calculations'!$J$8)^$B46))</f>
        <v>#N/A</v>
      </c>
      <c r="J46" s="150"/>
      <c r="K46" s="149"/>
      <c r="L46" s="136"/>
      <c r="M46" s="150" t="e">
        <f>(K46+L46)*(1/((1+'SWG Calculations'!$J$8)^$B46))</f>
        <v>#N/A</v>
      </c>
    </row>
    <row r="47" spans="1:13" ht="15.6" x14ac:dyDescent="0.3">
      <c r="A47" s="148">
        <v>44</v>
      </c>
      <c r="B47" s="63" t="e">
        <v>#N/A</v>
      </c>
      <c r="C47" s="149"/>
      <c r="D47" s="136"/>
      <c r="E47" s="136" t="e">
        <f>(C47+D47)*(1/((1+'SWG Calculations'!$J$8)^$B47))</f>
        <v>#N/A</v>
      </c>
      <c r="F47" s="150"/>
      <c r="G47" s="149"/>
      <c r="H47" s="136"/>
      <c r="I47" s="136" t="e">
        <f>(G47+H47)*(1/((1+'SWG Calculations'!$J$8)^$B47))</f>
        <v>#N/A</v>
      </c>
      <c r="J47" s="150"/>
      <c r="K47" s="149"/>
      <c r="L47" s="136"/>
      <c r="M47" s="150" t="e">
        <f>(K47+L47)*(1/((1+'SWG Calculations'!$J$8)^$B47))</f>
        <v>#N/A</v>
      </c>
    </row>
    <row r="48" spans="1:13" ht="15.6" x14ac:dyDescent="0.3">
      <c r="A48" s="148">
        <v>45</v>
      </c>
      <c r="B48" s="63"/>
      <c r="C48" s="149"/>
      <c r="D48" s="136"/>
      <c r="E48" s="136">
        <f>(C48+D48)*(1/((1+'SWG Calculations'!$J$8)^$B48))</f>
        <v>0</v>
      </c>
      <c r="F48" s="150"/>
      <c r="G48" s="149"/>
      <c r="H48" s="136"/>
      <c r="I48" s="136">
        <f>(G48+H48)*(1/((1+'SWG Calculations'!$J$8)^$B48))</f>
        <v>0</v>
      </c>
      <c r="J48" s="150"/>
      <c r="K48" s="149"/>
      <c r="L48" s="136"/>
      <c r="M48" s="150">
        <f>(K48+L48)*(1/((1+'SWG Calculations'!$J$8)^$B48))</f>
        <v>0</v>
      </c>
    </row>
    <row r="49" spans="1:13" ht="15.6" x14ac:dyDescent="0.3">
      <c r="A49" s="148">
        <v>46</v>
      </c>
      <c r="B49" s="63"/>
      <c r="C49" s="149"/>
      <c r="D49" s="136"/>
      <c r="E49" s="136">
        <f>(C49+D49)*(1/((1+'SWG Calculations'!$J$8)^$B49))</f>
        <v>0</v>
      </c>
      <c r="F49" s="150"/>
      <c r="G49" s="149"/>
      <c r="H49" s="136"/>
      <c r="I49" s="136">
        <f>(G49+H49)*(1/((1+'SWG Calculations'!$J$8)^$B49))</f>
        <v>0</v>
      </c>
      <c r="J49" s="150"/>
      <c r="K49" s="149"/>
      <c r="L49" s="136"/>
      <c r="M49" s="150">
        <f>(K49+L49)*(1/((1+'SWG Calculations'!$J$8)^$B49))</f>
        <v>0</v>
      </c>
    </row>
    <row r="50" spans="1:13" ht="15.6" x14ac:dyDescent="0.3">
      <c r="A50" s="148">
        <v>47</v>
      </c>
      <c r="B50" s="63"/>
      <c r="C50" s="149"/>
      <c r="D50" s="136"/>
      <c r="E50" s="136">
        <f>(C50+D50)*(1/((1+'SWG Calculations'!$J$8)^$B50))</f>
        <v>0</v>
      </c>
      <c r="F50" s="150"/>
      <c r="G50" s="149"/>
      <c r="H50" s="136"/>
      <c r="I50" s="136">
        <f>(G50+H50)*(1/((1+'SWG Calculations'!$J$8)^$B50))</f>
        <v>0</v>
      </c>
      <c r="J50" s="150"/>
      <c r="K50" s="149"/>
      <c r="L50" s="136"/>
      <c r="M50" s="150">
        <f>(K50+L50)*(1/((1+'SWG Calculations'!$J$8)^$B50))</f>
        <v>0</v>
      </c>
    </row>
    <row r="51" spans="1:13" ht="15.6" x14ac:dyDescent="0.3">
      <c r="A51" s="148">
        <v>48</v>
      </c>
      <c r="B51" s="63"/>
      <c r="C51" s="149"/>
      <c r="D51" s="136"/>
      <c r="E51" s="136">
        <f>(C51+D51)*(1/((1+'SWG Calculations'!$J$8)^$B51))</f>
        <v>0</v>
      </c>
      <c r="F51" s="150"/>
      <c r="G51" s="149"/>
      <c r="H51" s="136"/>
      <c r="I51" s="136">
        <f>(G51+H51)*(1/((1+'SWG Calculations'!$J$8)^$B51))</f>
        <v>0</v>
      </c>
      <c r="J51" s="150"/>
      <c r="K51" s="149"/>
      <c r="L51" s="136"/>
      <c r="M51" s="150">
        <f>(K51+L51)*(1/((1+'SWG Calculations'!$J$8)^$B51))</f>
        <v>0</v>
      </c>
    </row>
    <row r="52" spans="1:13" ht="15.6" x14ac:dyDescent="0.3">
      <c r="A52" s="148">
        <v>49</v>
      </c>
      <c r="B52" s="63"/>
      <c r="C52" s="149"/>
      <c r="D52" s="136"/>
      <c r="E52" s="136">
        <f>(C52+D52)*(1/((1+'SWG Calculations'!$J$8)^$B52))</f>
        <v>0</v>
      </c>
      <c r="F52" s="150"/>
      <c r="G52" s="149"/>
      <c r="H52" s="136"/>
      <c r="I52" s="136">
        <f>(G52+H52)*(1/((1+'SWG Calculations'!$J$8)^$B52))</f>
        <v>0</v>
      </c>
      <c r="J52" s="150"/>
      <c r="K52" s="149"/>
      <c r="L52" s="136"/>
      <c r="M52" s="150">
        <f>(K52+L52)*(1/((1+'SWG Calculations'!$J$8)^$B52))</f>
        <v>0</v>
      </c>
    </row>
    <row r="53" spans="1:13" ht="15.6" x14ac:dyDescent="0.3">
      <c r="A53" s="148">
        <v>50</v>
      </c>
      <c r="B53" s="63"/>
      <c r="C53" s="149"/>
      <c r="D53" s="136"/>
      <c r="E53" s="136">
        <f>(C53+D53)*(1/((1+'SWG Calculations'!$J$8)^$B53))</f>
        <v>0</v>
      </c>
      <c r="F53" s="150"/>
      <c r="G53" s="149"/>
      <c r="H53" s="136"/>
      <c r="I53" s="136">
        <f>(G53+H53)*(1/((1+'SWG Calculations'!$J$8)^$B53))</f>
        <v>0</v>
      </c>
      <c r="J53" s="150"/>
      <c r="K53" s="149"/>
      <c r="L53" s="136"/>
      <c r="M53" s="150">
        <f>(K53+L53)*(1/((1+'SWG Calculations'!$J$8)^$B53))</f>
        <v>0</v>
      </c>
    </row>
    <row r="54" spans="1:13" ht="15.6" x14ac:dyDescent="0.3">
      <c r="A54" s="148">
        <v>51</v>
      </c>
      <c r="B54" s="63"/>
      <c r="C54" s="149"/>
      <c r="D54" s="136"/>
      <c r="E54" s="136">
        <f>(C54+D54)*(1/((1+'SWG Calculations'!$J$8)^$B54))</f>
        <v>0</v>
      </c>
      <c r="F54" s="150"/>
      <c r="G54" s="149"/>
      <c r="H54" s="136"/>
      <c r="I54" s="136">
        <f>(G54+H54)*(1/((1+'SWG Calculations'!$J$8)^$B54))</f>
        <v>0</v>
      </c>
      <c r="J54" s="150"/>
      <c r="K54" s="149"/>
      <c r="L54" s="136"/>
      <c r="M54" s="150">
        <f>(K54+L54)*(1/((1+'SWG Calculations'!$J$8)^$B54))</f>
        <v>0</v>
      </c>
    </row>
    <row r="55" spans="1:13" ht="15.6" x14ac:dyDescent="0.3">
      <c r="A55" s="148">
        <v>52</v>
      </c>
      <c r="B55" s="63"/>
      <c r="C55" s="149"/>
      <c r="D55" s="136"/>
      <c r="E55" s="136">
        <f>(C55+D55)*(1/((1+'SWG Calculations'!$J$8)^$B55))</f>
        <v>0</v>
      </c>
      <c r="F55" s="150"/>
      <c r="G55" s="149"/>
      <c r="H55" s="136"/>
      <c r="I55" s="136">
        <f>(G55+H55)*(1/((1+'SWG Calculations'!$J$8)^$B55))</f>
        <v>0</v>
      </c>
      <c r="J55" s="150"/>
      <c r="K55" s="149"/>
      <c r="L55" s="136"/>
      <c r="M55" s="150">
        <f>(K55+L55)*(1/((1+'SWG Calculations'!$J$8)^$B55))</f>
        <v>0</v>
      </c>
    </row>
    <row r="56" spans="1:13" ht="15.6" x14ac:dyDescent="0.3">
      <c r="A56" s="148">
        <v>53</v>
      </c>
      <c r="B56" s="63"/>
      <c r="C56" s="149"/>
      <c r="D56" s="136"/>
      <c r="E56" s="136">
        <f>(C56+D56)*(1/((1+'SWG Calculations'!$J$8)^$B56))</f>
        <v>0</v>
      </c>
      <c r="F56" s="150"/>
      <c r="G56" s="149"/>
      <c r="H56" s="136"/>
      <c r="I56" s="136">
        <f>(G56+H56)*(1/((1+'SWG Calculations'!$J$8)^$B56))</f>
        <v>0</v>
      </c>
      <c r="J56" s="150"/>
      <c r="K56" s="149"/>
      <c r="L56" s="136"/>
      <c r="M56" s="150">
        <f>(K56+L56)*(1/((1+'SWG Calculations'!$J$8)^$B56))</f>
        <v>0</v>
      </c>
    </row>
    <row r="57" spans="1:13" ht="15.6" x14ac:dyDescent="0.3">
      <c r="A57" s="148">
        <v>54</v>
      </c>
      <c r="B57" s="63"/>
      <c r="C57" s="149"/>
      <c r="D57" s="136"/>
      <c r="E57" s="136">
        <f>(C57+D57)*(1/((1+'SWG Calculations'!$J$8)^$B57))</f>
        <v>0</v>
      </c>
      <c r="F57" s="150"/>
      <c r="G57" s="149"/>
      <c r="H57" s="136"/>
      <c r="I57" s="136">
        <f>(G57+H57)*(1/((1+'SWG Calculations'!$J$8)^$B57))</f>
        <v>0</v>
      </c>
      <c r="J57" s="150"/>
      <c r="K57" s="149"/>
      <c r="L57" s="136"/>
      <c r="M57" s="150">
        <f>(K57+L57)*(1/((1+'SWG Calculations'!$J$8)^$B57))</f>
        <v>0</v>
      </c>
    </row>
    <row r="58" spans="1:13" ht="15.6" x14ac:dyDescent="0.3">
      <c r="A58" s="148">
        <v>55</v>
      </c>
      <c r="B58" s="63"/>
      <c r="C58" s="149"/>
      <c r="D58" s="136"/>
      <c r="E58" s="136">
        <f>(C58+D58)*(1/((1+'SWG Calculations'!$J$8)^$B58))</f>
        <v>0</v>
      </c>
      <c r="F58" s="150"/>
      <c r="G58" s="149"/>
      <c r="H58" s="136"/>
      <c r="I58" s="136">
        <f>(G58+H58)*(1/((1+'SWG Calculations'!$J$8)^$B58))</f>
        <v>0</v>
      </c>
      <c r="J58" s="150"/>
      <c r="K58" s="149"/>
      <c r="L58" s="136"/>
      <c r="M58" s="150">
        <f>(K58+L58)*(1/((1+'SWG Calculations'!$J$8)^$B58))</f>
        <v>0</v>
      </c>
    </row>
    <row r="59" spans="1:13" ht="15.6" x14ac:dyDescent="0.3">
      <c r="A59" s="148">
        <v>56</v>
      </c>
      <c r="B59" s="63"/>
      <c r="C59" s="149"/>
      <c r="D59" s="136"/>
      <c r="E59" s="136">
        <f>(C59+D59)*(1/((1+'SWG Calculations'!$J$8)^$B59))</f>
        <v>0</v>
      </c>
      <c r="F59" s="150"/>
      <c r="G59" s="149"/>
      <c r="H59" s="136"/>
      <c r="I59" s="136">
        <f>(G59+H59)*(1/((1+'SWG Calculations'!$J$8)^$B59))</f>
        <v>0</v>
      </c>
      <c r="J59" s="150"/>
      <c r="K59" s="149"/>
      <c r="L59" s="136"/>
      <c r="M59" s="150">
        <f>(K59+L59)*(1/((1+'SWG Calculations'!$J$8)^$B59))</f>
        <v>0</v>
      </c>
    </row>
    <row r="60" spans="1:13" ht="15.6" x14ac:dyDescent="0.3">
      <c r="A60" s="148">
        <v>57</v>
      </c>
      <c r="B60" s="63"/>
      <c r="C60" s="149"/>
      <c r="D60" s="136"/>
      <c r="E60" s="136">
        <f>(C60+D60)*(1/((1+'SWG Calculations'!$J$8)^$B60))</f>
        <v>0</v>
      </c>
      <c r="F60" s="150"/>
      <c r="G60" s="149"/>
      <c r="H60" s="136"/>
      <c r="I60" s="136">
        <f>(G60+H60)*(1/((1+'SWG Calculations'!$J$8)^$B60))</f>
        <v>0</v>
      </c>
      <c r="J60" s="150"/>
      <c r="K60" s="149"/>
      <c r="L60" s="136"/>
      <c r="M60" s="150">
        <f>(K60+L60)*(1/((1+'SWG Calculations'!$J$8)^$B60))</f>
        <v>0</v>
      </c>
    </row>
    <row r="61" spans="1:13" ht="15.6" x14ac:dyDescent="0.3">
      <c r="A61" s="148">
        <v>58</v>
      </c>
      <c r="B61" s="63"/>
      <c r="C61" s="149"/>
      <c r="D61" s="136"/>
      <c r="E61" s="136">
        <f>(C61+D61)*(1/((1+'SWG Calculations'!$J$8)^$B61))</f>
        <v>0</v>
      </c>
      <c r="F61" s="150"/>
      <c r="G61" s="149"/>
      <c r="H61" s="136"/>
      <c r="I61" s="136">
        <f>(G61+H61)*(1/((1+'SWG Calculations'!$J$8)^$B61))</f>
        <v>0</v>
      </c>
      <c r="J61" s="150"/>
      <c r="K61" s="149"/>
      <c r="L61" s="136"/>
      <c r="M61" s="150">
        <f>(K61+L61)*(1/((1+'SWG Calculations'!$J$8)^$B61))</f>
        <v>0</v>
      </c>
    </row>
    <row r="62" spans="1:13" ht="15.6" x14ac:dyDescent="0.3">
      <c r="A62" s="148">
        <v>59</v>
      </c>
      <c r="B62" s="63"/>
      <c r="C62" s="149"/>
      <c r="D62" s="136"/>
      <c r="E62" s="136">
        <f>(C62+D62)*(1/((1+'SWG Calculations'!$J$8)^$B62))</f>
        <v>0</v>
      </c>
      <c r="F62" s="150"/>
      <c r="G62" s="149"/>
      <c r="H62" s="136"/>
      <c r="I62" s="136">
        <f>(G62+H62)*(1/((1+'SWG Calculations'!$J$8)^$B62))</f>
        <v>0</v>
      </c>
      <c r="J62" s="150"/>
      <c r="K62" s="149"/>
      <c r="L62" s="136"/>
      <c r="M62" s="150">
        <f>(K62+L62)*(1/((1+'SWG Calculations'!$J$8)^$B62))</f>
        <v>0</v>
      </c>
    </row>
    <row r="63" spans="1:13" ht="15.6" x14ac:dyDescent="0.3">
      <c r="A63" s="148">
        <v>60</v>
      </c>
      <c r="B63" s="63"/>
      <c r="C63" s="149"/>
      <c r="D63" s="136"/>
      <c r="E63" s="136">
        <f>(C63+D63)*(1/((1+'SWG Calculations'!$J$8)^$B63))</f>
        <v>0</v>
      </c>
      <c r="F63" s="150"/>
      <c r="G63" s="149"/>
      <c r="H63" s="136"/>
      <c r="I63" s="136">
        <f>(G63+H63)*(1/((1+'SWG Calculations'!$J$8)^$B63))</f>
        <v>0</v>
      </c>
      <c r="J63" s="150"/>
      <c r="K63" s="149"/>
      <c r="L63" s="136"/>
      <c r="M63" s="150">
        <f>(K63+L63)*(1/((1+'SWG Calculations'!$J$8)^$B63))</f>
        <v>0</v>
      </c>
    </row>
    <row r="64" spans="1:13" ht="15.6" x14ac:dyDescent="0.3">
      <c r="A64" s="148">
        <v>61</v>
      </c>
      <c r="B64" s="63"/>
      <c r="C64" s="149"/>
      <c r="D64" s="136"/>
      <c r="E64" s="136">
        <f>(C64+D64)*(1/((1+'SWG Calculations'!$J$8)^$B64))</f>
        <v>0</v>
      </c>
      <c r="F64" s="150"/>
      <c r="G64" s="149"/>
      <c r="H64" s="136"/>
      <c r="I64" s="136">
        <f>(G64+H64)*(1/((1+'SWG Calculations'!$J$8)^$B64))</f>
        <v>0</v>
      </c>
      <c r="J64" s="150"/>
      <c r="K64" s="149"/>
      <c r="L64" s="136"/>
      <c r="M64" s="150">
        <f>(K64+L64)*(1/((1+'SWG Calculations'!$J$8)^$B64))</f>
        <v>0</v>
      </c>
    </row>
    <row r="65" spans="1:13" ht="15.6" x14ac:dyDescent="0.3">
      <c r="A65" s="148">
        <v>62</v>
      </c>
      <c r="B65" s="63"/>
      <c r="C65" s="149"/>
      <c r="D65" s="136"/>
      <c r="E65" s="136">
        <f>(C65+D65)*(1/((1+'SWG Calculations'!$J$8)^$B65))</f>
        <v>0</v>
      </c>
      <c r="F65" s="150"/>
      <c r="G65" s="149"/>
      <c r="H65" s="136"/>
      <c r="I65" s="136">
        <f>(G65+H65)*(1/((1+'SWG Calculations'!$J$8)^$B65))</f>
        <v>0</v>
      </c>
      <c r="J65" s="150"/>
      <c r="K65" s="149"/>
      <c r="L65" s="136"/>
      <c r="M65" s="150">
        <f>(K65+L65)*(1/((1+'SWG Calculations'!$J$8)^$B65))</f>
        <v>0</v>
      </c>
    </row>
    <row r="66" spans="1:13" ht="15.6" x14ac:dyDescent="0.3">
      <c r="A66" s="148">
        <v>63</v>
      </c>
      <c r="B66" s="63"/>
      <c r="C66" s="149"/>
      <c r="D66" s="136"/>
      <c r="E66" s="136">
        <f>(C66+D66)*(1/((1+'SWG Calculations'!$J$8)^$B66))</f>
        <v>0</v>
      </c>
      <c r="F66" s="150"/>
      <c r="G66" s="149"/>
      <c r="H66" s="136"/>
      <c r="I66" s="136">
        <f>(G66+H66)*(1/((1+'SWG Calculations'!$J$8)^$B66))</f>
        <v>0</v>
      </c>
      <c r="J66" s="150"/>
      <c r="K66" s="149"/>
      <c r="L66" s="136"/>
      <c r="M66" s="150">
        <f>(K66+L66)*(1/((1+'SWG Calculations'!$J$8)^$B66))</f>
        <v>0</v>
      </c>
    </row>
    <row r="67" spans="1:13" ht="15.6" x14ac:dyDescent="0.3">
      <c r="A67" s="148">
        <v>64</v>
      </c>
      <c r="B67" s="63"/>
      <c r="C67" s="149"/>
      <c r="D67" s="136"/>
      <c r="E67" s="136">
        <f>(C67+D67)*(1/((1+'SWG Calculations'!$J$8)^$B67))</f>
        <v>0</v>
      </c>
      <c r="F67" s="150"/>
      <c r="G67" s="149"/>
      <c r="H67" s="136"/>
      <c r="I67" s="136">
        <f>(G67+H67)*(1/((1+'SWG Calculations'!$J$8)^$B67))</f>
        <v>0</v>
      </c>
      <c r="J67" s="150"/>
      <c r="K67" s="149"/>
      <c r="L67" s="136"/>
      <c r="M67" s="150">
        <f>(K67+L67)*(1/((1+'SWG Calculations'!$J$8)^$B67))</f>
        <v>0</v>
      </c>
    </row>
    <row r="68" spans="1:13" ht="15.6" x14ac:dyDescent="0.3">
      <c r="A68" s="148">
        <v>65</v>
      </c>
      <c r="B68" s="63"/>
      <c r="C68" s="149"/>
      <c r="D68" s="136"/>
      <c r="E68" s="136">
        <f>(C68+D68)*(1/((1+'SWG Calculations'!$J$8)^$B68))</f>
        <v>0</v>
      </c>
      <c r="F68" s="150"/>
      <c r="G68" s="149"/>
      <c r="H68" s="136"/>
      <c r="I68" s="136">
        <f>(G68+H68)*(1/((1+'SWG Calculations'!$J$8)^$B68))</f>
        <v>0</v>
      </c>
      <c r="J68" s="150"/>
      <c r="K68" s="149"/>
      <c r="L68" s="136"/>
      <c r="M68" s="150">
        <f>(K68+L68)*(1/((1+'SWG Calculations'!$J$8)^$B68))</f>
        <v>0</v>
      </c>
    </row>
    <row r="69" spans="1:13" ht="15.6" x14ac:dyDescent="0.3">
      <c r="A69" s="148">
        <v>66</v>
      </c>
      <c r="B69" s="63"/>
      <c r="C69" s="149"/>
      <c r="D69" s="136"/>
      <c r="E69" s="136">
        <f>(C69+D69)*(1/((1+'SWG Calculations'!$J$8)^$B69))</f>
        <v>0</v>
      </c>
      <c r="F69" s="150"/>
      <c r="G69" s="149"/>
      <c r="H69" s="136"/>
      <c r="I69" s="136">
        <f>(G69+H69)*(1/((1+'SWG Calculations'!$J$8)^$B69))</f>
        <v>0</v>
      </c>
      <c r="J69" s="150"/>
      <c r="K69" s="149"/>
      <c r="L69" s="136"/>
      <c r="M69" s="150">
        <f>(K69+L69)*(1/((1+'SWG Calculations'!$J$8)^$B69))</f>
        <v>0</v>
      </c>
    </row>
    <row r="70" spans="1:13" ht="15.6" x14ac:dyDescent="0.3">
      <c r="A70" s="148">
        <v>67</v>
      </c>
      <c r="B70" s="63"/>
      <c r="C70" s="149"/>
      <c r="D70" s="136"/>
      <c r="E70" s="136">
        <f>(C70+D70)*(1/((1+'SWG Calculations'!$J$8)^$B70))</f>
        <v>0</v>
      </c>
      <c r="F70" s="150"/>
      <c r="G70" s="149"/>
      <c r="H70" s="136"/>
      <c r="I70" s="136">
        <f>(G70+H70)*(1/((1+'SWG Calculations'!$J$8)^$B70))</f>
        <v>0</v>
      </c>
      <c r="J70" s="150"/>
      <c r="K70" s="149"/>
      <c r="L70" s="136"/>
      <c r="M70" s="150">
        <f>(K70+L70)*(1/((1+'SWG Calculations'!$J$8)^$B70))</f>
        <v>0</v>
      </c>
    </row>
    <row r="71" spans="1:13" ht="15.6" x14ac:dyDescent="0.3">
      <c r="A71" s="148">
        <v>68</v>
      </c>
      <c r="B71" s="63"/>
      <c r="C71" s="149"/>
      <c r="D71" s="136"/>
      <c r="E71" s="136">
        <f>(C71+D71)*(1/((1+'SWG Calculations'!$J$8)^$B71))</f>
        <v>0</v>
      </c>
      <c r="F71" s="150"/>
      <c r="G71" s="149"/>
      <c r="H71" s="136"/>
      <c r="I71" s="136">
        <f>(G71+H71)*(1/((1+'SWG Calculations'!$J$8)^$B71))</f>
        <v>0</v>
      </c>
      <c r="J71" s="150"/>
      <c r="K71" s="149"/>
      <c r="L71" s="136"/>
      <c r="M71" s="150">
        <f>(K71+L71)*(1/((1+'SWG Calculations'!$J$8)^$B71))</f>
        <v>0</v>
      </c>
    </row>
    <row r="72" spans="1:13" ht="15.6" x14ac:dyDescent="0.3">
      <c r="A72" s="148">
        <v>69</v>
      </c>
      <c r="B72" s="63"/>
      <c r="C72" s="149"/>
      <c r="D72" s="136"/>
      <c r="E72" s="136">
        <f>(C72+D72)*(1/((1+'SWG Calculations'!$J$8)^$B72))</f>
        <v>0</v>
      </c>
      <c r="F72" s="150"/>
      <c r="G72" s="149"/>
      <c r="H72" s="136"/>
      <c r="I72" s="136">
        <f>(G72+H72)*(1/((1+'SWG Calculations'!$J$8)^$B72))</f>
        <v>0</v>
      </c>
      <c r="J72" s="150"/>
      <c r="K72" s="149"/>
      <c r="L72" s="136"/>
      <c r="M72" s="150">
        <f>(K72+L72)*(1/((1+'SWG Calculations'!$J$8)^$B72))</f>
        <v>0</v>
      </c>
    </row>
    <row r="73" spans="1:13" ht="15.6" x14ac:dyDescent="0.3">
      <c r="A73" s="148">
        <v>70</v>
      </c>
      <c r="B73" s="63"/>
      <c r="C73" s="149"/>
      <c r="D73" s="136"/>
      <c r="E73" s="136">
        <f>(C73+D73)*(1/((1+'SWG Calculations'!$J$8)^$B73))</f>
        <v>0</v>
      </c>
      <c r="F73" s="150"/>
      <c r="G73" s="149"/>
      <c r="H73" s="136"/>
      <c r="I73" s="136">
        <f>(G73+H73)*(1/((1+'SWG Calculations'!$J$8)^$B73))</f>
        <v>0</v>
      </c>
      <c r="J73" s="150"/>
      <c r="K73" s="149"/>
      <c r="L73" s="136"/>
      <c r="M73" s="150">
        <f>(K73+L73)*(1/((1+'SWG Calculations'!$J$8)^$B73))</f>
        <v>0</v>
      </c>
    </row>
    <row r="74" spans="1:13" ht="15.6" x14ac:dyDescent="0.3">
      <c r="A74" s="148">
        <v>71</v>
      </c>
      <c r="B74" s="63"/>
      <c r="C74" s="149"/>
      <c r="D74" s="136"/>
      <c r="E74" s="136">
        <f>(C74+D74)*(1/((1+'SWG Calculations'!$J$8)^$B74))</f>
        <v>0</v>
      </c>
      <c r="F74" s="150"/>
      <c r="G74" s="149"/>
      <c r="H74" s="136"/>
      <c r="I74" s="136">
        <f>(G74+H74)*(1/((1+'SWG Calculations'!$J$8)^$B74))</f>
        <v>0</v>
      </c>
      <c r="J74" s="150"/>
      <c r="K74" s="149"/>
      <c r="L74" s="136"/>
      <c r="M74" s="150">
        <f>(K74+L74)*(1/((1+'SWG Calculations'!$J$8)^$B74))</f>
        <v>0</v>
      </c>
    </row>
    <row r="75" spans="1:13" ht="15.6" x14ac:dyDescent="0.3">
      <c r="A75" s="148">
        <v>72</v>
      </c>
      <c r="B75" s="63"/>
      <c r="C75" s="149"/>
      <c r="D75" s="136"/>
      <c r="E75" s="136">
        <f>(C75+D75)*(1/((1+'SWG Calculations'!$J$8)^$B75))</f>
        <v>0</v>
      </c>
      <c r="F75" s="150"/>
      <c r="G75" s="149"/>
      <c r="H75" s="136"/>
      <c r="I75" s="136">
        <f>(G75+H75)*(1/((1+'SWG Calculations'!$J$8)^$B75))</f>
        <v>0</v>
      </c>
      <c r="J75" s="150"/>
      <c r="K75" s="149"/>
      <c r="L75" s="136"/>
      <c r="M75" s="150">
        <f>(K75+L75)*(1/((1+'SWG Calculations'!$J$8)^$B75))</f>
        <v>0</v>
      </c>
    </row>
    <row r="76" spans="1:13" ht="15.6" x14ac:dyDescent="0.3">
      <c r="A76" s="148">
        <v>73</v>
      </c>
      <c r="B76" s="63"/>
      <c r="C76" s="149"/>
      <c r="D76" s="136"/>
      <c r="E76" s="136">
        <f>(C76+D76)*(1/((1+'SWG Calculations'!$J$8)^$B76))</f>
        <v>0</v>
      </c>
      <c r="F76" s="150"/>
      <c r="G76" s="149"/>
      <c r="H76" s="136"/>
      <c r="I76" s="136">
        <f>(G76+H76)*(1/((1+'SWG Calculations'!$J$8)^$B76))</f>
        <v>0</v>
      </c>
      <c r="J76" s="150"/>
      <c r="K76" s="149"/>
      <c r="L76" s="136"/>
      <c r="M76" s="150">
        <f>(K76+L76)*(1/((1+'SWG Calculations'!$J$8)^$B76))</f>
        <v>0</v>
      </c>
    </row>
    <row r="77" spans="1:13" ht="15.6" x14ac:dyDescent="0.3">
      <c r="A77" s="148">
        <v>74</v>
      </c>
      <c r="B77" s="63"/>
      <c r="C77" s="149"/>
      <c r="D77" s="136"/>
      <c r="E77" s="136">
        <f>(C77+D77)*(1/((1+'SWG Calculations'!$J$8)^$B77))</f>
        <v>0</v>
      </c>
      <c r="F77" s="150"/>
      <c r="G77" s="149"/>
      <c r="H77" s="136"/>
      <c r="I77" s="136">
        <f>(G77+H77)*(1/((1+'SWG Calculations'!$J$8)^$B77))</f>
        <v>0</v>
      </c>
      <c r="J77" s="150"/>
      <c r="K77" s="149"/>
      <c r="L77" s="136"/>
      <c r="M77" s="150">
        <f>(K77+L77)*(1/((1+'SWG Calculations'!$J$8)^$B77))</f>
        <v>0</v>
      </c>
    </row>
    <row r="78" spans="1:13" ht="15.6" x14ac:dyDescent="0.3">
      <c r="A78" s="148">
        <v>75</v>
      </c>
      <c r="B78" s="63"/>
      <c r="C78" s="149"/>
      <c r="D78" s="136"/>
      <c r="E78" s="136">
        <f>(C78+D78)*(1/((1+'SWG Calculations'!$J$8)^$B78))</f>
        <v>0</v>
      </c>
      <c r="F78" s="150"/>
      <c r="G78" s="149"/>
      <c r="H78" s="136"/>
      <c r="I78" s="136">
        <f>(G78+H78)*(1/((1+'SWG Calculations'!$J$8)^$B78))</f>
        <v>0</v>
      </c>
      <c r="J78" s="150"/>
      <c r="K78" s="149"/>
      <c r="L78" s="136"/>
      <c r="M78" s="150">
        <f>(K78+L78)*(1/((1+'SWG Calculations'!$J$8)^$B78))</f>
        <v>0</v>
      </c>
    </row>
    <row r="79" spans="1:13" ht="15.6" x14ac:dyDescent="0.3">
      <c r="A79" s="148">
        <v>76</v>
      </c>
      <c r="B79" s="63"/>
      <c r="C79" s="149"/>
      <c r="D79" s="136"/>
      <c r="E79" s="136">
        <f>(C79+D79)*(1/((1+'SWG Calculations'!$J$8)^$B79))</f>
        <v>0</v>
      </c>
      <c r="F79" s="150"/>
      <c r="G79" s="149"/>
      <c r="H79" s="136"/>
      <c r="I79" s="136">
        <f>(G79+H79)*(1/((1+'SWG Calculations'!$J$8)^$B79))</f>
        <v>0</v>
      </c>
      <c r="J79" s="150"/>
      <c r="K79" s="149"/>
      <c r="L79" s="136"/>
      <c r="M79" s="150">
        <f>(K79+L79)*(1/((1+'SWG Calculations'!$J$8)^$B79))</f>
        <v>0</v>
      </c>
    </row>
    <row r="80" spans="1:13" ht="15.6" x14ac:dyDescent="0.3">
      <c r="A80" s="148">
        <v>77</v>
      </c>
      <c r="B80" s="63"/>
      <c r="C80" s="149"/>
      <c r="D80" s="136"/>
      <c r="E80" s="136">
        <f>(C80+D80)*(1/((1+'SWG Calculations'!$J$8)^$B80))</f>
        <v>0</v>
      </c>
      <c r="F80" s="150"/>
      <c r="G80" s="149"/>
      <c r="H80" s="136"/>
      <c r="I80" s="136">
        <f>(G80+H80)*(1/((1+'SWG Calculations'!$J$8)^$B80))</f>
        <v>0</v>
      </c>
      <c r="J80" s="150"/>
      <c r="K80" s="149"/>
      <c r="L80" s="136"/>
      <c r="M80" s="150">
        <f>(K80+L80)*(1/((1+'SWG Calculations'!$J$8)^$B80))</f>
        <v>0</v>
      </c>
    </row>
    <row r="81" spans="1:13" ht="15.6" x14ac:dyDescent="0.3">
      <c r="A81" s="148">
        <v>78</v>
      </c>
      <c r="B81" s="63"/>
      <c r="C81" s="149"/>
      <c r="D81" s="136"/>
      <c r="E81" s="136">
        <f>(C81+D81)*(1/((1+'SWG Calculations'!$J$8)^$B81))</f>
        <v>0</v>
      </c>
      <c r="F81" s="150"/>
      <c r="G81" s="149"/>
      <c r="H81" s="136"/>
      <c r="I81" s="136">
        <f>(G81+H81)*(1/((1+'SWG Calculations'!$J$8)^$B81))</f>
        <v>0</v>
      </c>
      <c r="J81" s="150"/>
      <c r="K81" s="149"/>
      <c r="L81" s="136"/>
      <c r="M81" s="150">
        <f>(K81+L81)*(1/((1+'SWG Calculations'!$J$8)^$B81))</f>
        <v>0</v>
      </c>
    </row>
    <row r="82" spans="1:13" ht="15.6" x14ac:dyDescent="0.3">
      <c r="A82" s="148">
        <v>79</v>
      </c>
      <c r="B82" s="63"/>
      <c r="C82" s="149"/>
      <c r="D82" s="136"/>
      <c r="E82" s="136">
        <f>(C82+D82)*(1/((1+'SWG Calculations'!$J$8)^$B82))</f>
        <v>0</v>
      </c>
      <c r="F82" s="150"/>
      <c r="G82" s="149"/>
      <c r="H82" s="136"/>
      <c r="I82" s="136">
        <f>(G82+H82)*(1/((1+'SWG Calculations'!$J$8)^$B82))</f>
        <v>0</v>
      </c>
      <c r="J82" s="150"/>
      <c r="K82" s="149"/>
      <c r="L82" s="136"/>
      <c r="M82" s="150">
        <f>(K82+L82)*(1/((1+'SWG Calculations'!$J$8)^$B82))</f>
        <v>0</v>
      </c>
    </row>
    <row r="83" spans="1:13" ht="15.6" x14ac:dyDescent="0.3">
      <c r="A83" s="148">
        <v>80</v>
      </c>
      <c r="B83" s="63"/>
      <c r="C83" s="149"/>
      <c r="D83" s="136"/>
      <c r="E83" s="136">
        <f>(C83+D83)*(1/((1+'SWG Calculations'!$J$8)^$B83))</f>
        <v>0</v>
      </c>
      <c r="F83" s="150"/>
      <c r="G83" s="149"/>
      <c r="H83" s="136"/>
      <c r="I83" s="136">
        <f>(G83+H83)*(1/((1+'SWG Calculations'!$J$8)^$B83))</f>
        <v>0</v>
      </c>
      <c r="J83" s="150"/>
      <c r="K83" s="149"/>
      <c r="L83" s="136"/>
      <c r="M83" s="150">
        <f>(K83+L83)*(1/((1+'SWG Calculations'!$J$8)^$B83))</f>
        <v>0</v>
      </c>
    </row>
    <row r="84" spans="1:13" ht="15.6" x14ac:dyDescent="0.3">
      <c r="A84" s="148">
        <v>81</v>
      </c>
      <c r="B84" s="63"/>
      <c r="C84" s="149"/>
      <c r="D84" s="136"/>
      <c r="E84" s="136">
        <f>(C84+D84)*(1/((1+'SWG Calculations'!$J$8)^$B84))</f>
        <v>0</v>
      </c>
      <c r="F84" s="150"/>
      <c r="G84" s="149"/>
      <c r="H84" s="136"/>
      <c r="I84" s="136">
        <f>(G84+H84)*(1/((1+'SWG Calculations'!$J$8)^$B84))</f>
        <v>0</v>
      </c>
      <c r="J84" s="150"/>
      <c r="K84" s="149"/>
      <c r="L84" s="136"/>
      <c r="M84" s="150">
        <f>(K84+L84)*(1/((1+'SWG Calculations'!$J$8)^$B84))</f>
        <v>0</v>
      </c>
    </row>
    <row r="85" spans="1:13" ht="15.6" x14ac:dyDescent="0.3">
      <c r="A85" s="148">
        <v>82</v>
      </c>
      <c r="B85" s="63"/>
      <c r="C85" s="149"/>
      <c r="D85" s="136"/>
      <c r="E85" s="136">
        <f>(C85+D85)*(1/((1+'SWG Calculations'!$J$8)^$B85))</f>
        <v>0</v>
      </c>
      <c r="F85" s="150"/>
      <c r="G85" s="149"/>
      <c r="H85" s="136"/>
      <c r="I85" s="136">
        <f>(G85+H85)*(1/((1+'SWG Calculations'!$J$8)^$B85))</f>
        <v>0</v>
      </c>
      <c r="J85" s="150"/>
      <c r="K85" s="149"/>
      <c r="L85" s="136"/>
      <c r="M85" s="150">
        <f>(K85+L85)*(1/((1+'SWG Calculations'!$J$8)^$B85))</f>
        <v>0</v>
      </c>
    </row>
    <row r="86" spans="1:13" ht="15.6" x14ac:dyDescent="0.3">
      <c r="A86" s="148">
        <v>83</v>
      </c>
      <c r="B86" s="63"/>
      <c r="C86" s="149"/>
      <c r="D86" s="136"/>
      <c r="E86" s="136">
        <f>(C86+D86)*(1/((1+'SWG Calculations'!$J$8)^$B86))</f>
        <v>0</v>
      </c>
      <c r="F86" s="150"/>
      <c r="G86" s="149"/>
      <c r="H86" s="136"/>
      <c r="I86" s="136">
        <f>(G86+H86)*(1/((1+'SWG Calculations'!$J$8)^$B86))</f>
        <v>0</v>
      </c>
      <c r="J86" s="150"/>
      <c r="K86" s="149"/>
      <c r="L86" s="136"/>
      <c r="M86" s="150">
        <f>(K86+L86)*(1/((1+'SWG Calculations'!$J$8)^$B86))</f>
        <v>0</v>
      </c>
    </row>
    <row r="87" spans="1:13" ht="15.6" x14ac:dyDescent="0.3">
      <c r="A87" s="148">
        <v>84</v>
      </c>
      <c r="B87" s="63"/>
      <c r="C87" s="149"/>
      <c r="D87" s="136"/>
      <c r="E87" s="136">
        <f>(C87+D87)*(1/((1+'SWG Calculations'!$J$8)^$B87))</f>
        <v>0</v>
      </c>
      <c r="F87" s="150"/>
      <c r="G87" s="149"/>
      <c r="H87" s="136"/>
      <c r="I87" s="136">
        <f>(G87+H87)*(1/((1+'SWG Calculations'!$J$8)^$B87))</f>
        <v>0</v>
      </c>
      <c r="J87" s="150"/>
      <c r="K87" s="149"/>
      <c r="L87" s="136"/>
      <c r="M87" s="150">
        <f>(K87+L87)*(1/((1+'SWG Calculations'!$J$8)^$B87))</f>
        <v>0</v>
      </c>
    </row>
    <row r="88" spans="1:13" ht="15.6" x14ac:dyDescent="0.3">
      <c r="A88" s="148">
        <v>85</v>
      </c>
      <c r="B88" s="63"/>
      <c r="C88" s="149"/>
      <c r="D88" s="136"/>
      <c r="E88" s="136">
        <f>(C88+D88)*(1/((1+'SWG Calculations'!$J$8)^$B88))</f>
        <v>0</v>
      </c>
      <c r="F88" s="150"/>
      <c r="G88" s="149"/>
      <c r="H88" s="136"/>
      <c r="I88" s="136">
        <f>(G88+H88)*(1/((1+'SWG Calculations'!$J$8)^$B88))</f>
        <v>0</v>
      </c>
      <c r="J88" s="150"/>
      <c r="K88" s="149"/>
      <c r="L88" s="136"/>
      <c r="M88" s="150">
        <f>(K88+L88)*(1/((1+'SWG Calculations'!$J$8)^$B88))</f>
        <v>0</v>
      </c>
    </row>
    <row r="89" spans="1:13" ht="15.6" x14ac:dyDescent="0.3">
      <c r="A89" s="148">
        <v>86</v>
      </c>
      <c r="B89" s="63"/>
      <c r="C89" s="149"/>
      <c r="D89" s="136"/>
      <c r="E89" s="136">
        <f>(C89+D89)*(1/((1+'SWG Calculations'!$J$8)^$B89))</f>
        <v>0</v>
      </c>
      <c r="F89" s="150"/>
      <c r="G89" s="149"/>
      <c r="H89" s="136"/>
      <c r="I89" s="136">
        <f>(G89+H89)*(1/((1+'SWG Calculations'!$J$8)^$B89))</f>
        <v>0</v>
      </c>
      <c r="J89" s="150"/>
      <c r="K89" s="149"/>
      <c r="L89" s="136"/>
      <c r="M89" s="150">
        <f>(K89+L89)*(1/((1+'SWG Calculations'!$J$8)^$B89))</f>
        <v>0</v>
      </c>
    </row>
    <row r="90" spans="1:13" ht="15.6" x14ac:dyDescent="0.3">
      <c r="A90" s="148">
        <v>87</v>
      </c>
      <c r="B90" s="63"/>
      <c r="C90" s="149"/>
      <c r="D90" s="136"/>
      <c r="E90" s="136">
        <f>(C90+D90)*(1/((1+'SWG Calculations'!$J$8)^$B90))</f>
        <v>0</v>
      </c>
      <c r="F90" s="150"/>
      <c r="G90" s="149"/>
      <c r="H90" s="136"/>
      <c r="I90" s="136">
        <f>(G90+H90)*(1/((1+'SWG Calculations'!$J$8)^$B90))</f>
        <v>0</v>
      </c>
      <c r="J90" s="150"/>
      <c r="K90" s="149"/>
      <c r="L90" s="136"/>
      <c r="M90" s="150">
        <f>(K90+L90)*(1/((1+'SWG Calculations'!$J$8)^$B90))</f>
        <v>0</v>
      </c>
    </row>
    <row r="91" spans="1:13" ht="15.6" x14ac:dyDescent="0.3">
      <c r="A91" s="148">
        <v>88</v>
      </c>
      <c r="B91" s="63"/>
      <c r="C91" s="149"/>
      <c r="D91" s="136"/>
      <c r="E91" s="136">
        <f>(C91+D91)*(1/((1+'SWG Calculations'!$J$8)^$B91))</f>
        <v>0</v>
      </c>
      <c r="F91" s="150"/>
      <c r="G91" s="149"/>
      <c r="H91" s="136"/>
      <c r="I91" s="136">
        <f>(G91+H91)*(1/((1+'SWG Calculations'!$J$8)^$B91))</f>
        <v>0</v>
      </c>
      <c r="J91" s="150"/>
      <c r="K91" s="149"/>
      <c r="L91" s="136"/>
      <c r="M91" s="150">
        <f>(K91+L91)*(1/((1+'SWG Calculations'!$J$8)^$B91))</f>
        <v>0</v>
      </c>
    </row>
    <row r="92" spans="1:13" ht="15.6" x14ac:dyDescent="0.3">
      <c r="A92" s="148">
        <v>89</v>
      </c>
      <c r="B92" s="63"/>
      <c r="C92" s="149"/>
      <c r="D92" s="136"/>
      <c r="E92" s="136">
        <f>(C92+D92)*(1/((1+'SWG Calculations'!$J$8)^$B92))</f>
        <v>0</v>
      </c>
      <c r="F92" s="150"/>
      <c r="G92" s="149"/>
      <c r="H92" s="136"/>
      <c r="I92" s="136">
        <f>(G92+H92)*(1/((1+'SWG Calculations'!$J$8)^$B92))</f>
        <v>0</v>
      </c>
      <c r="J92" s="150"/>
      <c r="K92" s="149"/>
      <c r="L92" s="136"/>
      <c r="M92" s="150">
        <f>(K92+L92)*(1/((1+'SWG Calculations'!$J$8)^$B92))</f>
        <v>0</v>
      </c>
    </row>
    <row r="93" spans="1:13" ht="15.6" x14ac:dyDescent="0.3">
      <c r="A93" s="148">
        <v>90</v>
      </c>
      <c r="B93" s="63"/>
      <c r="C93" s="149"/>
      <c r="D93" s="136"/>
      <c r="E93" s="136">
        <f>(C93+D93)*(1/((1+'SWG Calculations'!$J$8)^$B93))</f>
        <v>0</v>
      </c>
      <c r="F93" s="150"/>
      <c r="G93" s="149"/>
      <c r="H93" s="136"/>
      <c r="I93" s="136">
        <f>(G93+H93)*(1/((1+'SWG Calculations'!$J$8)^$B93))</f>
        <v>0</v>
      </c>
      <c r="J93" s="150"/>
      <c r="K93" s="149"/>
      <c r="L93" s="136"/>
      <c r="M93" s="150">
        <f>(K93+L93)*(1/((1+'SWG Calculations'!$J$8)^$B93))</f>
        <v>0</v>
      </c>
    </row>
    <row r="94" spans="1:13" ht="15.6" x14ac:dyDescent="0.3">
      <c r="A94" s="148">
        <v>91</v>
      </c>
      <c r="B94" s="63"/>
      <c r="C94" s="149"/>
      <c r="D94" s="136"/>
      <c r="E94" s="136">
        <f>(C94+D94)*(1/((1+'SWG Calculations'!$J$8)^$B94))</f>
        <v>0</v>
      </c>
      <c r="F94" s="150"/>
      <c r="G94" s="149"/>
      <c r="H94" s="136"/>
      <c r="I94" s="136">
        <f>(G94+H94)*(1/((1+'SWG Calculations'!$J$8)^$B94))</f>
        <v>0</v>
      </c>
      <c r="J94" s="150"/>
      <c r="K94" s="149"/>
      <c r="L94" s="136"/>
      <c r="M94" s="150">
        <f>(K94+L94)*(1/((1+'SWG Calculations'!$J$8)^$B94))</f>
        <v>0</v>
      </c>
    </row>
    <row r="95" spans="1:13" ht="15.6" x14ac:dyDescent="0.3">
      <c r="A95" s="148">
        <v>92</v>
      </c>
      <c r="B95" s="63"/>
      <c r="C95" s="149"/>
      <c r="D95" s="136"/>
      <c r="E95" s="136">
        <f>(C95+D95)*(1/((1+'SWG Calculations'!$J$8)^$B95))</f>
        <v>0</v>
      </c>
      <c r="F95" s="150"/>
      <c r="G95" s="149"/>
      <c r="H95" s="136"/>
      <c r="I95" s="136">
        <f>(G95+H95)*(1/((1+'SWG Calculations'!$J$8)^$B95))</f>
        <v>0</v>
      </c>
      <c r="J95" s="150"/>
      <c r="K95" s="149"/>
      <c r="L95" s="136"/>
      <c r="M95" s="150">
        <f>(K95+L95)*(1/((1+'SWG Calculations'!$J$8)^$B95))</f>
        <v>0</v>
      </c>
    </row>
    <row r="96" spans="1:13" ht="15.6" x14ac:dyDescent="0.3">
      <c r="A96" s="148">
        <v>93</v>
      </c>
      <c r="B96" s="63"/>
      <c r="C96" s="149"/>
      <c r="D96" s="136"/>
      <c r="E96" s="136">
        <f>(C96+D96)*(1/((1+'SWG Calculations'!$J$8)^$B96))</f>
        <v>0</v>
      </c>
      <c r="F96" s="150"/>
      <c r="G96" s="149"/>
      <c r="H96" s="136"/>
      <c r="I96" s="136">
        <f>(G96+H96)*(1/((1+'SWG Calculations'!$J$8)^$B96))</f>
        <v>0</v>
      </c>
      <c r="J96" s="150"/>
      <c r="K96" s="149"/>
      <c r="L96" s="136"/>
      <c r="M96" s="150">
        <f>(K96+L96)*(1/((1+'SWG Calculations'!$J$8)^$B96))</f>
        <v>0</v>
      </c>
    </row>
    <row r="97" spans="1:13" ht="15.6" x14ac:dyDescent="0.3">
      <c r="A97" s="148">
        <v>94</v>
      </c>
      <c r="B97" s="63"/>
      <c r="C97" s="149"/>
      <c r="D97" s="136"/>
      <c r="E97" s="136">
        <f>(C97+D97)*(1/((1+'SWG Calculations'!$J$8)^$B97))</f>
        <v>0</v>
      </c>
      <c r="F97" s="150"/>
      <c r="G97" s="149"/>
      <c r="H97" s="136"/>
      <c r="I97" s="136">
        <f>(G97+H97)*(1/((1+'SWG Calculations'!$J$8)^$B97))</f>
        <v>0</v>
      </c>
      <c r="J97" s="150"/>
      <c r="K97" s="149"/>
      <c r="L97" s="136"/>
      <c r="M97" s="150">
        <f>(K97+L97)*(1/((1+'SWG Calculations'!$J$8)^$B97))</f>
        <v>0</v>
      </c>
    </row>
    <row r="98" spans="1:13" ht="15.6" x14ac:dyDescent="0.3">
      <c r="A98" s="148">
        <v>95</v>
      </c>
      <c r="B98" s="63"/>
      <c r="C98" s="149"/>
      <c r="D98" s="136"/>
      <c r="E98" s="136">
        <f>(C98+D98)*(1/((1+'SWG Calculations'!$J$8)^$B98))</f>
        <v>0</v>
      </c>
      <c r="F98" s="150"/>
      <c r="G98" s="149"/>
      <c r="H98" s="136"/>
      <c r="I98" s="136">
        <f>(G98+H98)*(1/((1+'SWG Calculations'!$J$8)^$B98))</f>
        <v>0</v>
      </c>
      <c r="J98" s="150"/>
      <c r="K98" s="149"/>
      <c r="L98" s="136"/>
      <c r="M98" s="150">
        <f>(K98+L98)*(1/((1+'SWG Calculations'!$J$8)^$B98))</f>
        <v>0</v>
      </c>
    </row>
    <row r="99" spans="1:13" ht="15.6" x14ac:dyDescent="0.3">
      <c r="A99" s="148">
        <v>96</v>
      </c>
      <c r="B99" s="63"/>
      <c r="C99" s="149"/>
      <c r="D99" s="136"/>
      <c r="E99" s="136">
        <f>(C99+D99)*(1/((1+'SWG Calculations'!$J$8)^$B99))</f>
        <v>0</v>
      </c>
      <c r="F99" s="150"/>
      <c r="G99" s="149"/>
      <c r="H99" s="136"/>
      <c r="I99" s="136">
        <f>(G99+H99)*(1/((1+'SWG Calculations'!$J$8)^$B99))</f>
        <v>0</v>
      </c>
      <c r="J99" s="150"/>
      <c r="K99" s="149"/>
      <c r="L99" s="136"/>
      <c r="M99" s="150">
        <f>(K99+L99)*(1/((1+'SWG Calculations'!$J$8)^$B99))</f>
        <v>0</v>
      </c>
    </row>
    <row r="100" spans="1:13" ht="15.6" x14ac:dyDescent="0.3">
      <c r="A100" s="148">
        <v>97</v>
      </c>
      <c r="B100" s="63"/>
      <c r="C100" s="149"/>
      <c r="D100" s="136"/>
      <c r="E100" s="136">
        <f>(C100+D100)*(1/((1+'SWG Calculations'!$J$8)^$B100))</f>
        <v>0</v>
      </c>
      <c r="F100" s="150"/>
      <c r="G100" s="149"/>
      <c r="H100" s="136"/>
      <c r="I100" s="136">
        <f>(G100+H100)*(1/((1+'SWG Calculations'!$J$8)^$B100))</f>
        <v>0</v>
      </c>
      <c r="J100" s="150"/>
      <c r="K100" s="149"/>
      <c r="L100" s="136"/>
      <c r="M100" s="150">
        <f>(K100+L100)*(1/((1+'SWG Calculations'!$J$8)^$B100))</f>
        <v>0</v>
      </c>
    </row>
    <row r="101" spans="1:13" ht="15.6" x14ac:dyDescent="0.3">
      <c r="A101" s="148">
        <v>98</v>
      </c>
      <c r="B101" s="63"/>
      <c r="C101" s="149"/>
      <c r="D101" s="136"/>
      <c r="E101" s="136">
        <f>(C101+D101)*(1/((1+'SWG Calculations'!$J$8)^$B101))</f>
        <v>0</v>
      </c>
      <c r="F101" s="150"/>
      <c r="G101" s="149"/>
      <c r="H101" s="136"/>
      <c r="I101" s="136">
        <f>(G101+H101)*(1/((1+'SWG Calculations'!$J$8)^$B101))</f>
        <v>0</v>
      </c>
      <c r="J101" s="150"/>
      <c r="K101" s="149"/>
      <c r="L101" s="136"/>
      <c r="M101" s="150">
        <f>(K101+L101)*(1/((1+'SWG Calculations'!$J$8)^$B101))</f>
        <v>0</v>
      </c>
    </row>
    <row r="102" spans="1:13" ht="15.6" x14ac:dyDescent="0.3">
      <c r="A102" s="148">
        <v>99</v>
      </c>
      <c r="B102" s="63"/>
      <c r="C102" s="149"/>
      <c r="D102" s="136"/>
      <c r="E102" s="136">
        <f>(C102+D102)*(1/((1+'SWG Calculations'!$J$8)^$B102))</f>
        <v>0</v>
      </c>
      <c r="F102" s="150"/>
      <c r="G102" s="149"/>
      <c r="H102" s="136"/>
      <c r="I102" s="136">
        <f>(G102+H102)*(1/((1+'SWG Calculations'!$J$8)^$B102))</f>
        <v>0</v>
      </c>
      <c r="J102" s="150"/>
      <c r="K102" s="149"/>
      <c r="L102" s="136"/>
      <c r="M102" s="150">
        <f>(K102+L102)*(1/((1+'SWG Calculations'!$J$8)^$B102))</f>
        <v>0</v>
      </c>
    </row>
    <row r="103" spans="1:13" ht="16.2" thickBot="1" x14ac:dyDescent="0.35">
      <c r="A103" s="153">
        <v>100</v>
      </c>
      <c r="B103" s="7"/>
      <c r="C103" s="151"/>
      <c r="D103" s="152"/>
      <c r="E103" s="152">
        <f>(C103+D103)*(1/((1+'SWG Calculations'!$J$8)^$B103))</f>
        <v>0</v>
      </c>
      <c r="F103" s="85"/>
      <c r="G103" s="151"/>
      <c r="H103" s="152"/>
      <c r="I103" s="152">
        <f>(G103+H103)*(1/((1+'SWG Calculations'!$J$8)^$B103))</f>
        <v>0</v>
      </c>
      <c r="J103" s="85"/>
      <c r="K103" s="151"/>
      <c r="L103" s="152"/>
      <c r="M103" s="85">
        <f>(K103+L103)*(1/((1+'SWG Calculations'!$J$8)^$B103))</f>
        <v>0</v>
      </c>
    </row>
  </sheetData>
  <mergeCells count="3">
    <mergeCell ref="C1:F1"/>
    <mergeCell ref="G1:J1"/>
    <mergeCell ref="K1:M1"/>
  </mergeCells>
  <pageMargins left="0.75" right="0.75" top="1" bottom="1" header="0.5" footer="0.5"/>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E4D95E-9CA3-488D-9EC2-BE587172C27E}">
  <sheetPr>
    <pageSetUpPr fitToPage="1"/>
  </sheetPr>
  <dimension ref="A1:N41"/>
  <sheetViews>
    <sheetView showGridLines="0" zoomScale="90" zoomScaleNormal="85" workbookViewId="0">
      <selection activeCell="H1" sqref="H1"/>
    </sheetView>
  </sheetViews>
  <sheetFormatPr defaultColWidth="8.6640625" defaultRowHeight="15.6" x14ac:dyDescent="0.3"/>
  <cols>
    <col min="1" max="1" width="19" style="10" customWidth="1"/>
    <col min="2" max="2" width="25.5546875" style="10" customWidth="1"/>
    <col min="3" max="3" width="28.109375" style="10" customWidth="1"/>
    <col min="4" max="4" width="22.33203125" style="10" customWidth="1"/>
    <col min="5" max="5" width="53.5546875" style="10" customWidth="1"/>
    <col min="6" max="6" width="17.5546875" style="10" customWidth="1"/>
    <col min="7" max="7" width="18.33203125" style="10" customWidth="1"/>
    <col min="8" max="8" width="19.5546875" style="10" customWidth="1"/>
    <col min="9" max="9" width="15.6640625" style="10" bestFit="1" customWidth="1"/>
    <col min="10" max="10" width="22.6640625" style="10" customWidth="1"/>
    <col min="11" max="12" width="18.5546875" style="10" customWidth="1"/>
    <col min="13" max="13" width="19.33203125" style="10" customWidth="1"/>
    <col min="14" max="14" width="35.6640625" style="10" customWidth="1"/>
    <col min="15" max="16384" width="8.6640625" style="10"/>
  </cols>
  <sheetData>
    <row r="1" spans="1:14" s="1" customFormat="1" ht="15.6" customHeight="1" x14ac:dyDescent="0.3">
      <c r="A1" s="1" t="s">
        <v>1388</v>
      </c>
      <c r="C1"/>
      <c r="D1"/>
      <c r="E1"/>
      <c r="F1"/>
      <c r="G1"/>
      <c r="H1" s="10" t="s">
        <v>77</v>
      </c>
    </row>
    <row r="2" spans="1:14" s="1" customFormat="1" x14ac:dyDescent="0.3">
      <c r="A2" s="1" t="s">
        <v>1389</v>
      </c>
      <c r="C2"/>
      <c r="D2"/>
      <c r="E2"/>
      <c r="F2"/>
      <c r="G2"/>
    </row>
    <row r="3" spans="1:14" s="1" customFormat="1" x14ac:dyDescent="0.3">
      <c r="A3" s="1" t="s">
        <v>1390</v>
      </c>
      <c r="C3"/>
      <c r="D3"/>
      <c r="E3"/>
      <c r="F3"/>
      <c r="G3"/>
    </row>
    <row r="4" spans="1:14" s="1" customFormat="1" ht="16.2" customHeight="1" thickBot="1" x14ac:dyDescent="0.35">
      <c r="B4" s="27"/>
      <c r="C4"/>
      <c r="D4"/>
      <c r="E4"/>
      <c r="F4"/>
      <c r="G4"/>
    </row>
    <row r="5" spans="1:14" s="31" customFormat="1" ht="63" thickBot="1" x14ac:dyDescent="0.35">
      <c r="B5" s="28" t="s">
        <v>41</v>
      </c>
      <c r="C5" s="29" t="s">
        <v>83</v>
      </c>
      <c r="D5" s="29" t="s">
        <v>84</v>
      </c>
      <c r="E5" s="29" t="s">
        <v>53</v>
      </c>
      <c r="F5" s="3" t="s">
        <v>1391</v>
      </c>
      <c r="G5" s="3" t="s">
        <v>1385</v>
      </c>
      <c r="H5" s="3" t="s">
        <v>1392</v>
      </c>
      <c r="I5" s="3" t="s">
        <v>1393</v>
      </c>
      <c r="J5" s="3" t="s">
        <v>1394</v>
      </c>
      <c r="K5" s="3" t="s">
        <v>1395</v>
      </c>
      <c r="L5" s="3" t="s">
        <v>1396</v>
      </c>
      <c r="M5" s="84" t="s">
        <v>103</v>
      </c>
      <c r="N5" s="264" t="s">
        <v>1397</v>
      </c>
    </row>
    <row r="6" spans="1:14" ht="49.2" thickBot="1" x14ac:dyDescent="0.35">
      <c r="A6" s="280" t="s">
        <v>105</v>
      </c>
      <c r="B6" s="4" t="s">
        <v>106</v>
      </c>
      <c r="C6" s="52" t="s">
        <v>107</v>
      </c>
      <c r="D6" s="58" t="s">
        <v>1398</v>
      </c>
      <c r="E6" s="52" t="s">
        <v>1399</v>
      </c>
      <c r="F6" s="269">
        <v>0</v>
      </c>
      <c r="G6" s="269">
        <v>285512.20090909075</v>
      </c>
      <c r="H6" s="269">
        <v>0</v>
      </c>
      <c r="I6" s="270">
        <v>0</v>
      </c>
      <c r="J6" s="270">
        <v>206669</v>
      </c>
      <c r="K6" s="270">
        <v>479321.47499999998</v>
      </c>
      <c r="L6" s="270">
        <v>0</v>
      </c>
      <c r="M6" s="39">
        <f>AVERAGE(F6:L6)</f>
        <v>138786.09655844155</v>
      </c>
      <c r="N6" s="265" t="s">
        <v>1400</v>
      </c>
    </row>
    <row r="7" spans="1:14" ht="47.4" thickBot="1" x14ac:dyDescent="0.35">
      <c r="A7" s="282"/>
      <c r="B7" s="4" t="s">
        <v>111</v>
      </c>
      <c r="C7" s="52" t="s">
        <v>112</v>
      </c>
      <c r="D7" s="58" t="s">
        <v>113</v>
      </c>
      <c r="E7" s="52" t="s">
        <v>114</v>
      </c>
      <c r="F7" s="269">
        <v>23801.553846153831</v>
      </c>
      <c r="G7" s="269">
        <v>12777.398120068618</v>
      </c>
      <c r="H7" s="269">
        <v>0</v>
      </c>
      <c r="I7" s="269">
        <v>0</v>
      </c>
      <c r="J7" s="269">
        <v>0</v>
      </c>
      <c r="K7" s="269">
        <v>0</v>
      </c>
      <c r="L7" s="270">
        <v>0</v>
      </c>
      <c r="M7" s="39">
        <f>AVERAGE(F7:G7)</f>
        <v>18289.475983111224</v>
      </c>
      <c r="N7" s="265" t="s">
        <v>1400</v>
      </c>
    </row>
    <row r="8" spans="1:14" s="55" customFormat="1" ht="16.2" thickBot="1" x14ac:dyDescent="0.35">
      <c r="A8" s="1"/>
    </row>
    <row r="9" spans="1:14" s="72" customFormat="1" ht="101.4" customHeight="1" thickBot="1" x14ac:dyDescent="0.4">
      <c r="A9" s="293" t="s">
        <v>116</v>
      </c>
      <c r="B9" s="90" t="s">
        <v>117</v>
      </c>
      <c r="C9" s="90" t="s">
        <v>107</v>
      </c>
      <c r="D9" s="59" t="s">
        <v>1401</v>
      </c>
      <c r="E9" s="59" t="s">
        <v>1402</v>
      </c>
      <c r="F9" s="271">
        <v>0</v>
      </c>
      <c r="G9" s="271">
        <v>26447445.978947356</v>
      </c>
      <c r="H9" s="271">
        <v>0</v>
      </c>
      <c r="I9" s="272">
        <v>0</v>
      </c>
      <c r="J9" s="272">
        <v>4982703.9342465745</v>
      </c>
      <c r="K9" s="272">
        <v>2195936.9960954445</v>
      </c>
      <c r="L9" s="272">
        <v>0</v>
      </c>
      <c r="M9" s="33">
        <f>AVERAGE(F9:L9)</f>
        <v>4803726.7013270538</v>
      </c>
      <c r="N9" s="90"/>
    </row>
    <row r="10" spans="1:14" s="72" customFormat="1" ht="156.6" thickBot="1" x14ac:dyDescent="0.4">
      <c r="A10" s="293"/>
      <c r="B10" s="90"/>
      <c r="C10" s="90" t="s">
        <v>112</v>
      </c>
      <c r="D10" s="59" t="s">
        <v>121</v>
      </c>
      <c r="E10" s="267" t="s">
        <v>122</v>
      </c>
      <c r="F10" s="298" t="s">
        <v>1403</v>
      </c>
      <c r="G10" s="299"/>
      <c r="H10" s="299"/>
      <c r="I10" s="299"/>
      <c r="J10" s="299"/>
      <c r="K10" s="299"/>
      <c r="L10" s="299"/>
      <c r="M10" s="300"/>
      <c r="N10" s="90"/>
    </row>
    <row r="11" spans="1:14" s="72" customFormat="1" ht="101.4" customHeight="1" thickBot="1" x14ac:dyDescent="0.4">
      <c r="A11" s="293"/>
      <c r="B11" s="215" t="s">
        <v>124</v>
      </c>
      <c r="C11" s="90" t="s">
        <v>112</v>
      </c>
      <c r="D11" s="59" t="s">
        <v>125</v>
      </c>
      <c r="E11" s="267" t="s">
        <v>126</v>
      </c>
      <c r="F11" s="260">
        <f>F23</f>
        <v>447191.23795620439</v>
      </c>
      <c r="G11" s="260">
        <f t="shared" ref="G11:M11" si="0">G23</f>
        <v>784881.39521990088</v>
      </c>
      <c r="H11" s="260">
        <f t="shared" si="0"/>
        <v>0</v>
      </c>
      <c r="I11" s="260">
        <f t="shared" si="0"/>
        <v>0</v>
      </c>
      <c r="J11" s="260">
        <f t="shared" si="0"/>
        <v>0</v>
      </c>
      <c r="K11" s="260">
        <f t="shared" si="0"/>
        <v>0</v>
      </c>
      <c r="L11" s="260">
        <f t="shared" si="0"/>
        <v>0</v>
      </c>
      <c r="M11" s="260">
        <f t="shared" si="0"/>
        <v>616036.31658805266</v>
      </c>
      <c r="N11" s="90"/>
    </row>
    <row r="12" spans="1:14" s="72" customFormat="1" ht="65.400000000000006" customHeight="1" thickBot="1" x14ac:dyDescent="0.4">
      <c r="A12" s="293"/>
      <c r="B12" s="90" t="s">
        <v>127</v>
      </c>
      <c r="C12" s="90" t="s">
        <v>128</v>
      </c>
      <c r="D12" s="229" t="s">
        <v>129</v>
      </c>
      <c r="E12" s="59" t="s">
        <v>130</v>
      </c>
      <c r="F12" s="301" t="s">
        <v>1404</v>
      </c>
      <c r="G12" s="301"/>
      <c r="H12" s="301"/>
      <c r="I12" s="301"/>
      <c r="J12" s="301"/>
      <c r="K12" s="301"/>
      <c r="L12" s="301"/>
      <c r="M12" s="261"/>
      <c r="N12" s="90"/>
    </row>
    <row r="13" spans="1:14" s="72" customFormat="1" ht="63" thickBot="1" x14ac:dyDescent="0.4">
      <c r="A13" s="293"/>
      <c r="B13" s="215" t="s">
        <v>132</v>
      </c>
      <c r="C13" s="90" t="s">
        <v>133</v>
      </c>
      <c r="D13" s="229" t="s">
        <v>134</v>
      </c>
      <c r="E13" s="268" t="s">
        <v>1405</v>
      </c>
      <c r="F13" s="132"/>
      <c r="G13" s="127"/>
      <c r="H13" s="127"/>
      <c r="I13" s="127"/>
      <c r="J13" s="127"/>
      <c r="K13" s="127"/>
      <c r="L13" s="128"/>
      <c r="M13" s="262">
        <v>30</v>
      </c>
      <c r="N13" s="90"/>
    </row>
    <row r="14" spans="1:14" ht="63" thickBot="1" x14ac:dyDescent="0.35">
      <c r="A14" s="293"/>
      <c r="B14" s="90" t="s">
        <v>1406</v>
      </c>
      <c r="C14" s="90" t="s">
        <v>112</v>
      </c>
      <c r="D14" s="59" t="s">
        <v>138</v>
      </c>
      <c r="E14" s="59" t="s">
        <v>139</v>
      </c>
      <c r="F14" s="79">
        <v>158.73173701298674</v>
      </c>
      <c r="G14" s="79">
        <v>143.95314950980384</v>
      </c>
      <c r="H14" s="79">
        <v>0</v>
      </c>
      <c r="I14" s="79">
        <v>0</v>
      </c>
      <c r="J14" s="79">
        <v>0</v>
      </c>
      <c r="K14" s="79">
        <v>0</v>
      </c>
      <c r="L14" s="20">
        <v>0</v>
      </c>
      <c r="M14" s="35">
        <f>AVERAGE(F14:G14)</f>
        <v>151.34244326139529</v>
      </c>
      <c r="N14" s="90"/>
    </row>
    <row r="15" spans="1:14" ht="94.2" customHeight="1" thickBot="1" x14ac:dyDescent="0.35">
      <c r="A15" s="293"/>
      <c r="B15" s="90" t="s">
        <v>141</v>
      </c>
      <c r="C15" s="90" t="s">
        <v>128</v>
      </c>
      <c r="D15" s="59" t="s">
        <v>142</v>
      </c>
      <c r="E15" s="59" t="s">
        <v>143</v>
      </c>
      <c r="F15" s="294" t="s">
        <v>1404</v>
      </c>
      <c r="G15" s="294"/>
      <c r="H15" s="294"/>
      <c r="I15" s="294"/>
      <c r="J15" s="294"/>
      <c r="K15" s="294"/>
      <c r="L15" s="294"/>
      <c r="M15" s="35"/>
      <c r="N15" s="90"/>
    </row>
    <row r="16" spans="1:14" s="55" customFormat="1" ht="16.2" thickBot="1" x14ac:dyDescent="0.35">
      <c r="A16" s="1"/>
    </row>
    <row r="17" spans="1:14" ht="94.2" thickBot="1" x14ac:dyDescent="0.35">
      <c r="A17" s="293" t="s">
        <v>145</v>
      </c>
      <c r="B17" s="90" t="s">
        <v>146</v>
      </c>
      <c r="C17" s="59" t="s">
        <v>107</v>
      </c>
      <c r="D17" s="59" t="s">
        <v>1407</v>
      </c>
      <c r="E17" s="59" t="s">
        <v>1408</v>
      </c>
      <c r="F17" s="15">
        <v>0</v>
      </c>
      <c r="G17" s="35">
        <v>3</v>
      </c>
      <c r="H17" s="35">
        <v>0</v>
      </c>
      <c r="I17" s="15">
        <v>0</v>
      </c>
      <c r="J17" s="15">
        <v>1</v>
      </c>
      <c r="K17" s="15">
        <v>2</v>
      </c>
      <c r="L17" s="15">
        <v>0</v>
      </c>
      <c r="M17" s="247">
        <f>AVERAGE(F17:L17)</f>
        <v>0.8571428571428571</v>
      </c>
      <c r="N17" s="90" t="s">
        <v>1409</v>
      </c>
    </row>
    <row r="18" spans="1:14" ht="47.4" thickBot="1" x14ac:dyDescent="0.35">
      <c r="A18" s="293"/>
      <c r="B18" s="90" t="s">
        <v>150</v>
      </c>
      <c r="C18" s="90" t="s">
        <v>107</v>
      </c>
      <c r="D18" s="90" t="s">
        <v>151</v>
      </c>
      <c r="E18" s="15" t="s">
        <v>152</v>
      </c>
      <c r="F18" s="247">
        <v>0</v>
      </c>
      <c r="G18" s="247">
        <v>2.9687499999999999E-2</v>
      </c>
      <c r="H18" s="247">
        <v>0</v>
      </c>
      <c r="I18" s="247">
        <v>0</v>
      </c>
      <c r="J18" s="247">
        <v>4.1477272727272731E-2</v>
      </c>
      <c r="K18" s="247">
        <v>0.43655303030303028</v>
      </c>
      <c r="L18" s="247">
        <v>0</v>
      </c>
      <c r="M18" s="247">
        <f>SUM(F18:L18)</f>
        <v>0.50771780303030301</v>
      </c>
      <c r="N18" s="90"/>
    </row>
    <row r="19" spans="1:14" ht="125.4" customHeight="1" thickBot="1" x14ac:dyDescent="0.35">
      <c r="A19" s="293"/>
      <c r="B19" s="90" t="s">
        <v>154</v>
      </c>
      <c r="C19" s="90" t="s">
        <v>107</v>
      </c>
      <c r="D19" s="90" t="s">
        <v>155</v>
      </c>
      <c r="E19" s="15" t="s">
        <v>156</v>
      </c>
      <c r="F19" s="71" t="s">
        <v>1410</v>
      </c>
      <c r="G19" s="71" t="s">
        <v>1410</v>
      </c>
      <c r="H19" s="71" t="s">
        <v>1410</v>
      </c>
      <c r="I19" s="71" t="s">
        <v>1410</v>
      </c>
      <c r="J19" s="71" t="s">
        <v>1410</v>
      </c>
      <c r="K19" s="71" t="s">
        <v>1410</v>
      </c>
      <c r="L19" s="71" t="s">
        <v>1410</v>
      </c>
      <c r="M19" s="71" t="s">
        <v>1410</v>
      </c>
      <c r="N19" s="90"/>
    </row>
    <row r="20" spans="1:14" ht="49.2" thickBot="1" x14ac:dyDescent="0.35">
      <c r="A20" s="293"/>
      <c r="B20" s="90" t="s">
        <v>158</v>
      </c>
      <c r="C20" s="90" t="s">
        <v>107</v>
      </c>
      <c r="D20" s="93" t="s">
        <v>159</v>
      </c>
      <c r="E20" s="15" t="s">
        <v>160</v>
      </c>
      <c r="F20" s="295" t="s">
        <v>1411</v>
      </c>
      <c r="G20" s="296"/>
      <c r="H20" s="296"/>
      <c r="I20" s="296"/>
      <c r="J20" s="296"/>
      <c r="K20" s="296"/>
      <c r="L20" s="296"/>
      <c r="M20" s="297"/>
      <c r="N20" s="263"/>
    </row>
    <row r="21" spans="1:14" s="72" customFormat="1" ht="47.4" thickBot="1" x14ac:dyDescent="0.4">
      <c r="A21" s="293"/>
      <c r="B21" s="90" t="s">
        <v>162</v>
      </c>
      <c r="C21" s="90" t="s">
        <v>107</v>
      </c>
      <c r="D21" s="90" t="s">
        <v>163</v>
      </c>
      <c r="E21" s="15" t="s">
        <v>164</v>
      </c>
      <c r="F21" s="35">
        <v>0</v>
      </c>
      <c r="G21" s="35">
        <v>26.375</v>
      </c>
      <c r="H21" s="35">
        <v>0</v>
      </c>
      <c r="I21" s="15">
        <v>0</v>
      </c>
      <c r="J21" s="15">
        <v>379</v>
      </c>
      <c r="K21" s="15">
        <v>429</v>
      </c>
      <c r="L21" s="15">
        <v>0</v>
      </c>
      <c r="M21" s="35">
        <f>AVERAGE(F21:L21)</f>
        <v>119.19642857142857</v>
      </c>
      <c r="N21" s="90"/>
    </row>
    <row r="22" spans="1:14" s="23" customFormat="1" ht="16.2" thickBot="1" x14ac:dyDescent="0.35">
      <c r="B22" s="255"/>
      <c r="C22" s="256"/>
      <c r="D22" s="256"/>
      <c r="E22" s="255"/>
      <c r="F22" s="256"/>
      <c r="G22" s="256"/>
      <c r="H22" s="256"/>
      <c r="I22" s="256"/>
      <c r="J22" s="256"/>
      <c r="K22" s="256"/>
      <c r="L22" s="256"/>
      <c r="M22" s="256"/>
      <c r="N22" s="256"/>
    </row>
    <row r="23" spans="1:14" ht="47.4" thickBot="1" x14ac:dyDescent="0.35">
      <c r="A23" s="293" t="s">
        <v>166</v>
      </c>
      <c r="B23" s="90" t="s">
        <v>124</v>
      </c>
      <c r="C23" s="90" t="s">
        <v>112</v>
      </c>
      <c r="D23" s="90" t="s">
        <v>167</v>
      </c>
      <c r="E23" s="15" t="s">
        <v>168</v>
      </c>
      <c r="F23" s="271">
        <v>447191.23795620439</v>
      </c>
      <c r="G23" s="271">
        <v>784881.39521990088</v>
      </c>
      <c r="H23" s="271">
        <v>0</v>
      </c>
      <c r="I23" s="271">
        <v>0</v>
      </c>
      <c r="J23" s="271">
        <v>0</v>
      </c>
      <c r="K23" s="271">
        <v>0</v>
      </c>
      <c r="L23" s="272">
        <v>0</v>
      </c>
      <c r="M23" s="33">
        <f>AVERAGE(F23:G23)</f>
        <v>616036.31658805266</v>
      </c>
      <c r="N23" s="265" t="s">
        <v>1400</v>
      </c>
    </row>
    <row r="24" spans="1:14" ht="31.8" thickBot="1" x14ac:dyDescent="0.35">
      <c r="A24" s="293"/>
      <c r="B24" s="90" t="s">
        <v>170</v>
      </c>
      <c r="C24" s="90" t="s">
        <v>112</v>
      </c>
      <c r="D24" s="90" t="s">
        <v>171</v>
      </c>
      <c r="E24" s="15" t="s">
        <v>172</v>
      </c>
      <c r="F24" s="35">
        <v>8.2727272727272734</v>
      </c>
      <c r="G24" s="35">
        <v>29.2964824120603</v>
      </c>
      <c r="H24" s="35">
        <v>0</v>
      </c>
      <c r="I24" s="35">
        <v>0</v>
      </c>
      <c r="J24" s="35">
        <v>0</v>
      </c>
      <c r="K24" s="35">
        <v>0</v>
      </c>
      <c r="L24" s="15">
        <v>0</v>
      </c>
      <c r="M24" s="35">
        <f>AVERAGE(F24:G24)</f>
        <v>18.784604842393787</v>
      </c>
      <c r="N24" s="90"/>
    </row>
    <row r="25" spans="1:14" ht="31.8" thickBot="1" x14ac:dyDescent="0.35">
      <c r="A25" s="293"/>
      <c r="B25" s="90" t="s">
        <v>174</v>
      </c>
      <c r="C25" s="90" t="s">
        <v>112</v>
      </c>
      <c r="D25" s="90" t="s">
        <v>175</v>
      </c>
      <c r="E25" s="15" t="s">
        <v>176</v>
      </c>
      <c r="F25" s="35">
        <v>8.25</v>
      </c>
      <c r="G25" s="35">
        <v>49.75</v>
      </c>
      <c r="H25" s="35">
        <v>0</v>
      </c>
      <c r="I25" s="35">
        <v>0</v>
      </c>
      <c r="J25" s="35">
        <v>0</v>
      </c>
      <c r="K25" s="35">
        <v>0</v>
      </c>
      <c r="L25" s="15">
        <v>0</v>
      </c>
      <c r="M25" s="35">
        <f>AVERAGE(F25:G25)</f>
        <v>29</v>
      </c>
      <c r="N25" s="90"/>
    </row>
    <row r="26" spans="1:14" ht="47.4" thickBot="1" x14ac:dyDescent="0.35">
      <c r="A26" s="293"/>
      <c r="B26" s="90" t="s">
        <v>178</v>
      </c>
      <c r="C26" s="90" t="s">
        <v>112</v>
      </c>
      <c r="D26" s="90" t="s">
        <v>179</v>
      </c>
      <c r="E26" s="15" t="s">
        <v>180</v>
      </c>
      <c r="F26" s="35">
        <v>68.25</v>
      </c>
      <c r="G26" s="35">
        <v>1457.5</v>
      </c>
      <c r="H26" s="35">
        <v>0</v>
      </c>
      <c r="I26" s="35">
        <v>0</v>
      </c>
      <c r="J26" s="35">
        <v>0</v>
      </c>
      <c r="K26" s="35">
        <v>0</v>
      </c>
      <c r="L26" s="15">
        <v>0</v>
      </c>
      <c r="M26" s="35">
        <f>SUM(F26:G26)</f>
        <v>1525.75</v>
      </c>
      <c r="N26" s="90"/>
    </row>
    <row r="27" spans="1:14" ht="31.8" thickBot="1" x14ac:dyDescent="0.35">
      <c r="A27" s="293"/>
      <c r="B27" s="90" t="s">
        <v>182</v>
      </c>
      <c r="C27" s="90" t="s">
        <v>112</v>
      </c>
      <c r="D27" s="90" t="s">
        <v>183</v>
      </c>
      <c r="E27" s="15" t="s">
        <v>184</v>
      </c>
      <c r="F27" s="37">
        <v>3.6325757575757551</v>
      </c>
      <c r="G27" s="37">
        <v>23.7272253787878</v>
      </c>
      <c r="H27" s="37">
        <v>0</v>
      </c>
      <c r="I27" s="273">
        <v>0</v>
      </c>
      <c r="J27" s="273">
        <v>0</v>
      </c>
      <c r="K27" s="273">
        <v>0</v>
      </c>
      <c r="L27" s="273">
        <v>0</v>
      </c>
      <c r="M27" s="37">
        <f>SUM(F27:G27)</f>
        <v>27.359801136363554</v>
      </c>
      <c r="N27" s="90"/>
    </row>
    <row r="28" spans="1:14" ht="47.4" thickBot="1" x14ac:dyDescent="0.35">
      <c r="A28" s="293"/>
      <c r="B28" s="90" t="s">
        <v>186</v>
      </c>
      <c r="C28" s="90" t="s">
        <v>112</v>
      </c>
      <c r="D28" s="90" t="s">
        <v>187</v>
      </c>
      <c r="E28" s="15" t="s">
        <v>188</v>
      </c>
      <c r="F28" s="37">
        <v>1.0208333333333317</v>
      </c>
      <c r="G28" s="37">
        <v>15.9042140151514</v>
      </c>
      <c r="H28" s="37">
        <v>0</v>
      </c>
      <c r="I28" s="273">
        <v>0</v>
      </c>
      <c r="J28" s="273">
        <v>0</v>
      </c>
      <c r="K28" s="273">
        <v>0</v>
      </c>
      <c r="L28" s="273">
        <v>0</v>
      </c>
      <c r="M28" s="37">
        <f>SUM(F28:G28)</f>
        <v>16.925047348484732</v>
      </c>
      <c r="N28" s="90"/>
    </row>
    <row r="29" spans="1:14" ht="47.4" thickBot="1" x14ac:dyDescent="0.35">
      <c r="A29" s="293"/>
      <c r="B29" s="90" t="s">
        <v>190</v>
      </c>
      <c r="C29" s="90" t="s">
        <v>112</v>
      </c>
      <c r="D29" s="90" t="s">
        <v>191</v>
      </c>
      <c r="E29" s="15" t="s">
        <v>192</v>
      </c>
      <c r="F29" s="71" t="s">
        <v>1410</v>
      </c>
      <c r="G29" s="71" t="s">
        <v>1410</v>
      </c>
      <c r="H29" s="71" t="s">
        <v>1410</v>
      </c>
      <c r="I29" s="71" t="s">
        <v>1410</v>
      </c>
      <c r="J29" s="71" t="s">
        <v>1410</v>
      </c>
      <c r="K29" s="71" t="s">
        <v>1410</v>
      </c>
      <c r="L29" s="71" t="s">
        <v>1410</v>
      </c>
      <c r="M29" s="71" t="s">
        <v>1410</v>
      </c>
      <c r="N29" s="90"/>
    </row>
    <row r="30" spans="1:14" ht="31.8" thickBot="1" x14ac:dyDescent="0.35">
      <c r="A30" s="293"/>
      <c r="B30" s="90" t="s">
        <v>194</v>
      </c>
      <c r="C30" s="90" t="s">
        <v>112</v>
      </c>
      <c r="D30" s="90" t="s">
        <v>195</v>
      </c>
      <c r="E30" s="40"/>
      <c r="F30" s="40"/>
      <c r="G30" s="40"/>
      <c r="H30" s="40"/>
      <c r="I30" s="40"/>
      <c r="J30" s="40"/>
      <c r="K30" s="40"/>
      <c r="L30" s="40"/>
      <c r="M30" s="40"/>
      <c r="N30" s="263"/>
    </row>
    <row r="31" spans="1:14" ht="94.2" thickBot="1" x14ac:dyDescent="0.35">
      <c r="A31" s="293"/>
      <c r="B31" s="90" t="s">
        <v>196</v>
      </c>
      <c r="C31" s="90" t="s">
        <v>112</v>
      </c>
      <c r="D31" s="90" t="s">
        <v>197</v>
      </c>
      <c r="E31" s="90" t="s">
        <v>198</v>
      </c>
      <c r="F31" s="71" t="s">
        <v>1410</v>
      </c>
      <c r="G31" s="71" t="s">
        <v>1410</v>
      </c>
      <c r="H31" s="71" t="s">
        <v>1410</v>
      </c>
      <c r="I31" s="71" t="s">
        <v>1410</v>
      </c>
      <c r="J31" s="71" t="s">
        <v>1410</v>
      </c>
      <c r="K31" s="71" t="s">
        <v>1410</v>
      </c>
      <c r="L31" s="71" t="s">
        <v>1410</v>
      </c>
      <c r="M31" s="71" t="s">
        <v>1410</v>
      </c>
      <c r="N31" s="90"/>
    </row>
    <row r="32" spans="1:14" ht="47.4" thickBot="1" x14ac:dyDescent="0.35">
      <c r="A32" s="293"/>
      <c r="B32" s="90" t="s">
        <v>200</v>
      </c>
      <c r="C32" s="90" t="s">
        <v>112</v>
      </c>
      <c r="D32" s="90" t="s">
        <v>201</v>
      </c>
      <c r="E32" s="90" t="s">
        <v>202</v>
      </c>
      <c r="F32" s="71" t="s">
        <v>1410</v>
      </c>
      <c r="G32" s="71" t="s">
        <v>1410</v>
      </c>
      <c r="H32" s="71" t="s">
        <v>1410</v>
      </c>
      <c r="I32" s="71" t="s">
        <v>1410</v>
      </c>
      <c r="J32" s="71" t="s">
        <v>1410</v>
      </c>
      <c r="K32" s="71" t="s">
        <v>1410</v>
      </c>
      <c r="L32" s="71" t="s">
        <v>1410</v>
      </c>
      <c r="M32" s="71" t="s">
        <v>1410</v>
      </c>
      <c r="N32" s="90"/>
    </row>
    <row r="33" spans="1:14" ht="33" thickBot="1" x14ac:dyDescent="0.35">
      <c r="A33" s="293"/>
      <c r="B33" s="90" t="s">
        <v>204</v>
      </c>
      <c r="C33" s="90" t="s">
        <v>112</v>
      </c>
      <c r="D33" s="90" t="s">
        <v>205</v>
      </c>
      <c r="E33" s="90" t="s">
        <v>206</v>
      </c>
      <c r="F33" s="71" t="s">
        <v>1410</v>
      </c>
      <c r="G33" s="71" t="s">
        <v>1410</v>
      </c>
      <c r="H33" s="71" t="s">
        <v>1410</v>
      </c>
      <c r="I33" s="71" t="s">
        <v>1410</v>
      </c>
      <c r="J33" s="71" t="s">
        <v>1410</v>
      </c>
      <c r="K33" s="71" t="s">
        <v>1410</v>
      </c>
      <c r="L33" s="71" t="s">
        <v>1410</v>
      </c>
      <c r="M33" s="71" t="s">
        <v>1410</v>
      </c>
      <c r="N33" s="90"/>
    </row>
    <row r="34" spans="1:14" ht="63" thickBot="1" x14ac:dyDescent="0.35">
      <c r="A34" s="293"/>
      <c r="B34" s="90" t="s">
        <v>137</v>
      </c>
      <c r="C34" s="90" t="s">
        <v>112</v>
      </c>
      <c r="D34" s="15" t="s">
        <v>209</v>
      </c>
      <c r="E34" s="15" t="s">
        <v>210</v>
      </c>
      <c r="F34" s="71" t="s">
        <v>1410</v>
      </c>
      <c r="G34" s="71" t="s">
        <v>1410</v>
      </c>
      <c r="H34" s="71" t="s">
        <v>1410</v>
      </c>
      <c r="I34" s="71" t="s">
        <v>1410</v>
      </c>
      <c r="J34" s="71" t="s">
        <v>1410</v>
      </c>
      <c r="K34" s="71" t="s">
        <v>1410</v>
      </c>
      <c r="L34" s="71" t="s">
        <v>1410</v>
      </c>
      <c r="M34" s="71" t="s">
        <v>1410</v>
      </c>
      <c r="N34" s="90"/>
    </row>
    <row r="35" spans="1:14" ht="49.2" thickBot="1" x14ac:dyDescent="0.35">
      <c r="A35" s="293"/>
      <c r="B35" s="90" t="s">
        <v>1412</v>
      </c>
      <c r="C35" s="90" t="s">
        <v>112</v>
      </c>
      <c r="D35" s="93" t="s">
        <v>213</v>
      </c>
      <c r="E35" s="15" t="s">
        <v>214</v>
      </c>
      <c r="F35" s="295" t="s">
        <v>1411</v>
      </c>
      <c r="G35" s="296"/>
      <c r="H35" s="296"/>
      <c r="I35" s="296"/>
      <c r="J35" s="296"/>
      <c r="K35" s="296"/>
      <c r="L35" s="296"/>
      <c r="M35" s="297"/>
      <c r="N35" s="90"/>
    </row>
    <row r="36" spans="1:14" ht="16.2" thickBot="1" x14ac:dyDescent="0.35">
      <c r="B36" s="8"/>
      <c r="C36" s="8"/>
      <c r="D36" s="8"/>
      <c r="E36" s="8"/>
      <c r="F36" s="8"/>
      <c r="G36" s="8"/>
      <c r="H36" s="8"/>
      <c r="I36" s="8"/>
      <c r="J36" s="8"/>
      <c r="K36" s="8"/>
      <c r="L36" s="8"/>
      <c r="M36" s="8"/>
      <c r="N36" s="8"/>
    </row>
    <row r="37" spans="1:14" ht="125.4" thickBot="1" x14ac:dyDescent="0.35">
      <c r="A37" s="90" t="s">
        <v>222</v>
      </c>
      <c r="B37" s="90" t="s">
        <v>1404</v>
      </c>
      <c r="C37" s="8"/>
      <c r="D37" s="8"/>
      <c r="E37" s="8"/>
      <c r="F37" s="8"/>
      <c r="G37" s="8"/>
      <c r="H37" s="8"/>
      <c r="I37" s="8"/>
      <c r="J37" s="8"/>
      <c r="K37" s="8"/>
      <c r="L37" s="8"/>
      <c r="M37" s="8"/>
      <c r="N37" s="8"/>
    </row>
    <row r="39" spans="1:14" ht="34.950000000000003" customHeight="1" x14ac:dyDescent="0.3">
      <c r="B39" s="290" t="s">
        <v>1413</v>
      </c>
      <c r="C39" s="290"/>
      <c r="D39" s="290"/>
      <c r="E39" s="290"/>
      <c r="G39" s="8"/>
      <c r="H39" s="8"/>
      <c r="I39" s="8"/>
      <c r="J39" s="8"/>
      <c r="K39" s="8"/>
      <c r="L39" s="8"/>
      <c r="M39" s="8"/>
      <c r="N39" s="8"/>
    </row>
    <row r="41" spans="1:14" ht="78" customHeight="1" x14ac:dyDescent="0.3">
      <c r="B41" s="290" t="s">
        <v>1414</v>
      </c>
      <c r="C41" s="290"/>
      <c r="D41" s="290"/>
      <c r="E41" s="290"/>
    </row>
  </sheetData>
  <mergeCells count="11">
    <mergeCell ref="A6:A7"/>
    <mergeCell ref="A9:A15"/>
    <mergeCell ref="A17:A21"/>
    <mergeCell ref="A23:A35"/>
    <mergeCell ref="B41:E41"/>
    <mergeCell ref="B39:E39"/>
    <mergeCell ref="F20:M20"/>
    <mergeCell ref="F10:M10"/>
    <mergeCell ref="F12:L12"/>
    <mergeCell ref="F15:L15"/>
    <mergeCell ref="F35:M35"/>
  </mergeCells>
  <phoneticPr fontId="15" type="noConversion"/>
  <conditionalFormatting sqref="E15">
    <cfRule type="containsText" dxfId="0" priority="1" operator="containsText" text="Calculated">
      <formula>NOT(ISERROR(SEARCH("Calculated",E15)))</formula>
    </cfRule>
  </conditionalFormatting>
  <pageMargins left="0.25" right="0.25" top="0.75" bottom="0.75" header="0.3" footer="0.3"/>
  <pageSetup scale="25" fitToHeight="0" orientation="landscape" r:id="rId1"/>
  <headerFooter>
    <oddFooter>&amp;C
&amp;1#&amp;"Calibri,Regular"&amp;12&amp;K000000 Public &amp;R&amp;P</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85DDDC-1E91-4A32-BDC6-282A88AA547D}">
  <dimension ref="A1:C79"/>
  <sheetViews>
    <sheetView topLeftCell="A4" workbookViewId="0">
      <selection activeCell="C74" sqref="C74"/>
    </sheetView>
  </sheetViews>
  <sheetFormatPr defaultRowHeight="14.4" x14ac:dyDescent="0.3"/>
  <cols>
    <col min="1" max="1" width="15.88671875" customWidth="1"/>
    <col min="2" max="2" width="26.6640625" customWidth="1"/>
    <col min="3" max="3" width="15.88671875" customWidth="1"/>
  </cols>
  <sheetData>
    <row r="1" spans="1:3" ht="15.6" x14ac:dyDescent="0.3">
      <c r="A1" s="122" t="s">
        <v>1415</v>
      </c>
      <c r="B1" s="122"/>
    </row>
    <row r="2" spans="1:3" ht="31.2" x14ac:dyDescent="0.3">
      <c r="A2" s="88" t="s">
        <v>1416</v>
      </c>
      <c r="B2" s="88" t="s">
        <v>16</v>
      </c>
      <c r="C2" s="88" t="s">
        <v>1417</v>
      </c>
    </row>
    <row r="3" spans="1:3" ht="15.6" x14ac:dyDescent="0.3">
      <c r="A3" s="89" t="s">
        <v>28</v>
      </c>
      <c r="B3" s="89" t="s">
        <v>1418</v>
      </c>
      <c r="C3" s="24" t="s">
        <v>85</v>
      </c>
    </row>
    <row r="4" spans="1:3" ht="31.2" x14ac:dyDescent="0.3">
      <c r="A4" s="89" t="s">
        <v>754</v>
      </c>
      <c r="B4" s="89" t="s">
        <v>1419</v>
      </c>
      <c r="C4" s="24" t="s">
        <v>86</v>
      </c>
    </row>
    <row r="5" spans="1:3" ht="31.2" x14ac:dyDescent="0.3">
      <c r="A5" s="89" t="s">
        <v>1293</v>
      </c>
      <c r="B5" s="89" t="s">
        <v>1384</v>
      </c>
      <c r="C5" s="24" t="s">
        <v>87</v>
      </c>
    </row>
    <row r="6" spans="1:3" ht="31.2" x14ac:dyDescent="0.3">
      <c r="A6" s="89" t="s">
        <v>1386</v>
      </c>
      <c r="B6" s="89" t="s">
        <v>1420</v>
      </c>
      <c r="C6" s="24" t="s">
        <v>88</v>
      </c>
    </row>
    <row r="7" spans="1:3" ht="46.8" x14ac:dyDescent="0.3">
      <c r="B7" s="89" t="s">
        <v>25</v>
      </c>
      <c r="C7" s="121" t="s">
        <v>89</v>
      </c>
    </row>
    <row r="8" spans="1:3" ht="31.2" x14ac:dyDescent="0.3">
      <c r="B8" s="89" t="s">
        <v>1421</v>
      </c>
      <c r="C8" s="24" t="s">
        <v>90</v>
      </c>
    </row>
    <row r="9" spans="1:3" ht="31.2" x14ac:dyDescent="0.3">
      <c r="B9" s="89" t="s">
        <v>1422</v>
      </c>
      <c r="C9" s="24" t="s">
        <v>91</v>
      </c>
    </row>
    <row r="10" spans="1:3" ht="15.6" x14ac:dyDescent="0.3">
      <c r="C10" s="24" t="s">
        <v>92</v>
      </c>
    </row>
    <row r="11" spans="1:3" ht="15.6" x14ac:dyDescent="0.3">
      <c r="C11" s="24" t="s">
        <v>93</v>
      </c>
    </row>
    <row r="12" spans="1:3" ht="15.6" x14ac:dyDescent="0.3">
      <c r="C12" s="24" t="s">
        <v>94</v>
      </c>
    </row>
    <row r="13" spans="1:3" ht="15.6" x14ac:dyDescent="0.3">
      <c r="C13" s="24" t="s">
        <v>95</v>
      </c>
    </row>
    <row r="14" spans="1:3" ht="15.6" x14ac:dyDescent="0.3">
      <c r="C14" s="24" t="s">
        <v>26</v>
      </c>
    </row>
    <row r="15" spans="1:3" ht="15.6" x14ac:dyDescent="0.3">
      <c r="C15" s="24" t="s">
        <v>96</v>
      </c>
    </row>
    <row r="16" spans="1:3" ht="15.6" x14ac:dyDescent="0.3">
      <c r="C16" s="24" t="s">
        <v>97</v>
      </c>
    </row>
    <row r="17" spans="3:3" ht="15.6" x14ac:dyDescent="0.3">
      <c r="C17" s="24" t="s">
        <v>98</v>
      </c>
    </row>
    <row r="18" spans="3:3" ht="15.6" x14ac:dyDescent="0.3">
      <c r="C18" s="24" t="s">
        <v>99</v>
      </c>
    </row>
    <row r="19" spans="3:3" ht="15.6" x14ac:dyDescent="0.3">
      <c r="C19" s="24" t="s">
        <v>100</v>
      </c>
    </row>
    <row r="20" spans="3:3" ht="15.6" x14ac:dyDescent="0.3">
      <c r="C20" s="24" t="s">
        <v>101</v>
      </c>
    </row>
    <row r="21" spans="3:3" ht="15.6" x14ac:dyDescent="0.3">
      <c r="C21" s="89" t="s">
        <v>758</v>
      </c>
    </row>
    <row r="22" spans="3:3" ht="15.6" x14ac:dyDescent="0.3">
      <c r="C22" s="89" t="s">
        <v>759</v>
      </c>
    </row>
    <row r="23" spans="3:3" ht="15.6" x14ac:dyDescent="0.3">
      <c r="C23" s="89" t="s">
        <v>760</v>
      </c>
    </row>
    <row r="24" spans="3:3" ht="15.6" x14ac:dyDescent="0.3">
      <c r="C24" s="89" t="s">
        <v>761</v>
      </c>
    </row>
    <row r="25" spans="3:3" ht="15.6" x14ac:dyDescent="0.3">
      <c r="C25" s="89" t="s">
        <v>762</v>
      </c>
    </row>
    <row r="26" spans="3:3" ht="15.6" x14ac:dyDescent="0.3">
      <c r="C26" s="89" t="s">
        <v>763</v>
      </c>
    </row>
    <row r="27" spans="3:3" ht="15.6" x14ac:dyDescent="0.3">
      <c r="C27" s="89" t="s">
        <v>764</v>
      </c>
    </row>
    <row r="28" spans="3:3" ht="15.6" x14ac:dyDescent="0.3">
      <c r="C28" s="89" t="s">
        <v>765</v>
      </c>
    </row>
    <row r="29" spans="3:3" ht="15.6" x14ac:dyDescent="0.3">
      <c r="C29" s="89" t="s">
        <v>766</v>
      </c>
    </row>
    <row r="30" spans="3:3" ht="15.6" x14ac:dyDescent="0.3">
      <c r="C30" s="89" t="s">
        <v>767</v>
      </c>
    </row>
    <row r="31" spans="3:3" ht="15.6" x14ac:dyDescent="0.3">
      <c r="C31" s="89" t="s">
        <v>768</v>
      </c>
    </row>
    <row r="32" spans="3:3" ht="15.6" x14ac:dyDescent="0.3">
      <c r="C32" s="89" t="s">
        <v>769</v>
      </c>
    </row>
    <row r="33" spans="3:3" ht="15.6" x14ac:dyDescent="0.3">
      <c r="C33" s="89" t="s">
        <v>770</v>
      </c>
    </row>
    <row r="34" spans="3:3" ht="15.6" x14ac:dyDescent="0.3">
      <c r="C34" s="89" t="s">
        <v>771</v>
      </c>
    </row>
    <row r="35" spans="3:3" ht="15.6" x14ac:dyDescent="0.3">
      <c r="C35" s="89" t="s">
        <v>802</v>
      </c>
    </row>
    <row r="36" spans="3:3" ht="15.6" x14ac:dyDescent="0.3">
      <c r="C36" s="89" t="s">
        <v>772</v>
      </c>
    </row>
    <row r="37" spans="3:3" ht="15.6" x14ac:dyDescent="0.3">
      <c r="C37" s="89" t="s">
        <v>773</v>
      </c>
    </row>
    <row r="38" spans="3:3" ht="15.6" x14ac:dyDescent="0.3">
      <c r="C38" s="89" t="s">
        <v>774</v>
      </c>
    </row>
    <row r="39" spans="3:3" ht="15.6" x14ac:dyDescent="0.3">
      <c r="C39" s="89" t="s">
        <v>775</v>
      </c>
    </row>
    <row r="40" spans="3:3" ht="15.6" x14ac:dyDescent="0.3">
      <c r="C40" s="89" t="s">
        <v>776</v>
      </c>
    </row>
    <row r="41" spans="3:3" ht="31.2" x14ac:dyDescent="0.3">
      <c r="C41" s="89" t="s">
        <v>777</v>
      </c>
    </row>
    <row r="42" spans="3:3" ht="15.6" x14ac:dyDescent="0.3">
      <c r="C42" s="89" t="s">
        <v>778</v>
      </c>
    </row>
    <row r="43" spans="3:3" ht="15.6" x14ac:dyDescent="0.3">
      <c r="C43" s="89" t="s">
        <v>779</v>
      </c>
    </row>
    <row r="44" spans="3:3" ht="15.6" x14ac:dyDescent="0.3">
      <c r="C44" s="89" t="s">
        <v>780</v>
      </c>
    </row>
    <row r="45" spans="3:3" ht="15.6" x14ac:dyDescent="0.3">
      <c r="C45" s="89" t="s">
        <v>781</v>
      </c>
    </row>
    <row r="46" spans="3:3" ht="15.6" x14ac:dyDescent="0.3">
      <c r="C46" s="89" t="s">
        <v>782</v>
      </c>
    </row>
    <row r="47" spans="3:3" ht="15.6" x14ac:dyDescent="0.3">
      <c r="C47" s="89" t="s">
        <v>783</v>
      </c>
    </row>
    <row r="48" spans="3:3" ht="15.6" x14ac:dyDescent="0.3">
      <c r="C48" s="89" t="s">
        <v>784</v>
      </c>
    </row>
    <row r="49" spans="3:3" ht="15.6" x14ac:dyDescent="0.3">
      <c r="C49" s="89" t="s">
        <v>785</v>
      </c>
    </row>
    <row r="50" spans="3:3" ht="15.6" x14ac:dyDescent="0.3">
      <c r="C50" s="89" t="s">
        <v>786</v>
      </c>
    </row>
    <row r="51" spans="3:3" ht="15.6" x14ac:dyDescent="0.3">
      <c r="C51" s="89" t="s">
        <v>787</v>
      </c>
    </row>
    <row r="52" spans="3:3" ht="15.6" x14ac:dyDescent="0.3">
      <c r="C52" s="89" t="s">
        <v>788</v>
      </c>
    </row>
    <row r="53" spans="3:3" ht="15.6" x14ac:dyDescent="0.3">
      <c r="C53" s="89" t="s">
        <v>789</v>
      </c>
    </row>
    <row r="54" spans="3:3" ht="31.2" x14ac:dyDescent="0.3">
      <c r="C54" s="89" t="s">
        <v>790</v>
      </c>
    </row>
    <row r="55" spans="3:3" ht="31.2" x14ac:dyDescent="0.3">
      <c r="C55" s="89" t="s">
        <v>791</v>
      </c>
    </row>
    <row r="56" spans="3:3" ht="15.6" x14ac:dyDescent="0.3">
      <c r="C56" s="89" t="s">
        <v>792</v>
      </c>
    </row>
    <row r="57" spans="3:3" ht="15.6" x14ac:dyDescent="0.3">
      <c r="C57" s="89" t="s">
        <v>793</v>
      </c>
    </row>
    <row r="58" spans="3:3" ht="15.6" x14ac:dyDescent="0.3">
      <c r="C58" s="89" t="s">
        <v>794</v>
      </c>
    </row>
    <row r="59" spans="3:3" ht="15.6" x14ac:dyDescent="0.3">
      <c r="C59" s="89" t="s">
        <v>795</v>
      </c>
    </row>
    <row r="60" spans="3:3" ht="15.6" x14ac:dyDescent="0.3">
      <c r="C60" s="89" t="s">
        <v>796</v>
      </c>
    </row>
    <row r="61" spans="3:3" ht="15.6" x14ac:dyDescent="0.3">
      <c r="C61" s="89" t="s">
        <v>797</v>
      </c>
    </row>
    <row r="62" spans="3:3" ht="15.6" x14ac:dyDescent="0.3">
      <c r="C62" s="89" t="s">
        <v>798</v>
      </c>
    </row>
    <row r="63" spans="3:3" ht="15.6" x14ac:dyDescent="0.3">
      <c r="C63" s="89" t="s">
        <v>803</v>
      </c>
    </row>
    <row r="64" spans="3:3" ht="15.6" x14ac:dyDescent="0.3">
      <c r="C64" s="89" t="s">
        <v>799</v>
      </c>
    </row>
    <row r="65" spans="3:3" ht="15.6" x14ac:dyDescent="0.3">
      <c r="C65" s="89" t="s">
        <v>753</v>
      </c>
    </row>
    <row r="66" spans="3:3" ht="15.6" x14ac:dyDescent="0.3">
      <c r="C66" s="89" t="s">
        <v>800</v>
      </c>
    </row>
    <row r="67" spans="3:3" ht="15.6" x14ac:dyDescent="0.3">
      <c r="C67" s="89" t="s">
        <v>801</v>
      </c>
    </row>
    <row r="68" spans="3:3" ht="15.6" x14ac:dyDescent="0.3">
      <c r="C68" s="66" t="s">
        <v>1292</v>
      </c>
    </row>
    <row r="69" spans="3:3" ht="15.6" x14ac:dyDescent="0.3">
      <c r="C69" s="66" t="s">
        <v>1298</v>
      </c>
    </row>
    <row r="70" spans="3:3" ht="15.6" x14ac:dyDescent="0.3">
      <c r="C70" s="66" t="s">
        <v>1299</v>
      </c>
    </row>
    <row r="71" spans="3:3" ht="15.6" x14ac:dyDescent="0.3">
      <c r="C71" s="66" t="s">
        <v>1300</v>
      </c>
    </row>
    <row r="72" spans="3:3" ht="15.6" x14ac:dyDescent="0.3">
      <c r="C72" s="66" t="s">
        <v>1297</v>
      </c>
    </row>
    <row r="73" spans="3:3" ht="31.2" x14ac:dyDescent="0.3">
      <c r="C73" s="89" t="s">
        <v>1391</v>
      </c>
    </row>
    <row r="74" spans="3:3" ht="31.2" x14ac:dyDescent="0.3">
      <c r="C74" s="89" t="s">
        <v>1385</v>
      </c>
    </row>
    <row r="75" spans="3:3" ht="31.2" x14ac:dyDescent="0.3">
      <c r="C75" s="89" t="s">
        <v>1392</v>
      </c>
    </row>
    <row r="76" spans="3:3" ht="31.2" x14ac:dyDescent="0.3">
      <c r="C76" s="89" t="s">
        <v>1393</v>
      </c>
    </row>
    <row r="77" spans="3:3" ht="31.2" x14ac:dyDescent="0.3">
      <c r="C77" s="89" t="s">
        <v>1394</v>
      </c>
    </row>
    <row r="78" spans="3:3" ht="46.8" x14ac:dyDescent="0.3">
      <c r="C78" s="89" t="s">
        <v>1395</v>
      </c>
    </row>
    <row r="79" spans="3:3" ht="31.2" x14ac:dyDescent="0.3">
      <c r="C79" s="89" t="s">
        <v>1396</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A7945F-5ABC-4D29-9756-26379BA1B6F7}">
  <dimension ref="A1"/>
  <sheetViews>
    <sheetView workbookViewId="0">
      <selection activeCell="I1" sqref="I1"/>
    </sheetView>
  </sheetViews>
  <sheetFormatPr defaultRowHeight="14.4" x14ac:dyDescent="0.3"/>
  <sheetData/>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AD75D4-DE25-4D76-AECA-0ACFF17E23A1}">
  <dimension ref="B1:B40"/>
  <sheetViews>
    <sheetView workbookViewId="0">
      <selection activeCell="D16" sqref="D16"/>
    </sheetView>
  </sheetViews>
  <sheetFormatPr defaultColWidth="8.6640625" defaultRowHeight="15.6" x14ac:dyDescent="0.3"/>
  <cols>
    <col min="1" max="1" width="8.6640625" style="1"/>
    <col min="2" max="2" width="148.33203125" style="10" customWidth="1"/>
    <col min="3" max="16384" width="8.6640625" style="1"/>
  </cols>
  <sheetData>
    <row r="1" spans="2:2" ht="17.399999999999999" x14ac:dyDescent="0.3">
      <c r="B1" s="17" t="s">
        <v>1423</v>
      </c>
    </row>
    <row r="2" spans="2:2" ht="17.399999999999999" x14ac:dyDescent="0.3">
      <c r="B2" s="18" t="s">
        <v>1424</v>
      </c>
    </row>
    <row r="3" spans="2:2" ht="17.399999999999999" x14ac:dyDescent="0.3">
      <c r="B3" s="18" t="s">
        <v>1425</v>
      </c>
    </row>
    <row r="4" spans="2:2" ht="17.399999999999999" x14ac:dyDescent="0.3">
      <c r="B4" s="18" t="s">
        <v>1426</v>
      </c>
    </row>
    <row r="5" spans="2:2" ht="34.799999999999997" x14ac:dyDescent="0.3">
      <c r="B5" s="18" t="s">
        <v>1427</v>
      </c>
    </row>
    <row r="6" spans="2:2" ht="34.799999999999997" x14ac:dyDescent="0.3">
      <c r="B6" s="18" t="s">
        <v>1428</v>
      </c>
    </row>
    <row r="7" spans="2:2" ht="34.799999999999997" x14ac:dyDescent="0.3">
      <c r="B7" s="18" t="s">
        <v>1429</v>
      </c>
    </row>
    <row r="8" spans="2:2" ht="17.399999999999999" x14ac:dyDescent="0.3">
      <c r="B8" s="18" t="s">
        <v>1430</v>
      </c>
    </row>
    <row r="9" spans="2:2" ht="17.399999999999999" x14ac:dyDescent="0.3">
      <c r="B9" s="18" t="s">
        <v>1431</v>
      </c>
    </row>
    <row r="10" spans="2:2" ht="17.399999999999999" x14ac:dyDescent="0.3">
      <c r="B10" s="18" t="s">
        <v>1432</v>
      </c>
    </row>
    <row r="11" spans="2:2" ht="17.399999999999999" x14ac:dyDescent="0.3">
      <c r="B11" s="18" t="s">
        <v>1433</v>
      </c>
    </row>
    <row r="12" spans="2:2" ht="17.399999999999999" x14ac:dyDescent="0.3">
      <c r="B12" s="18" t="s">
        <v>1434</v>
      </c>
    </row>
    <row r="13" spans="2:2" ht="34.799999999999997" x14ac:dyDescent="0.3">
      <c r="B13" s="18" t="s">
        <v>1435</v>
      </c>
    </row>
    <row r="14" spans="2:2" ht="17.399999999999999" x14ac:dyDescent="0.3">
      <c r="B14" s="18" t="s">
        <v>1436</v>
      </c>
    </row>
    <row r="15" spans="2:2" ht="17.399999999999999" x14ac:dyDescent="0.3">
      <c r="B15" s="18" t="s">
        <v>1437</v>
      </c>
    </row>
    <row r="16" spans="2:2" ht="17.399999999999999" x14ac:dyDescent="0.3">
      <c r="B16" s="18" t="s">
        <v>1438</v>
      </c>
    </row>
    <row r="17" spans="2:2" ht="17.399999999999999" x14ac:dyDescent="0.3">
      <c r="B17" s="18" t="s">
        <v>1439</v>
      </c>
    </row>
    <row r="18" spans="2:2" ht="17.399999999999999" x14ac:dyDescent="0.3">
      <c r="B18" s="18" t="s">
        <v>1440</v>
      </c>
    </row>
    <row r="19" spans="2:2" ht="52.2" x14ac:dyDescent="0.3">
      <c r="B19" s="18" t="s">
        <v>1441</v>
      </c>
    </row>
    <row r="20" spans="2:2" ht="52.2" x14ac:dyDescent="0.3">
      <c r="B20" s="18" t="s">
        <v>1442</v>
      </c>
    </row>
    <row r="21" spans="2:2" ht="34.799999999999997" x14ac:dyDescent="0.3">
      <c r="B21" s="18" t="s">
        <v>1443</v>
      </c>
    </row>
    <row r="22" spans="2:2" ht="17.399999999999999" x14ac:dyDescent="0.3">
      <c r="B22" s="18" t="s">
        <v>1444</v>
      </c>
    </row>
    <row r="23" spans="2:2" ht="17.399999999999999" x14ac:dyDescent="0.3">
      <c r="B23" s="18" t="s">
        <v>1445</v>
      </c>
    </row>
    <row r="24" spans="2:2" ht="17.399999999999999" x14ac:dyDescent="0.3">
      <c r="B24" s="18" t="s">
        <v>1446</v>
      </c>
    </row>
    <row r="25" spans="2:2" ht="34.799999999999997" x14ac:dyDescent="0.3">
      <c r="B25" s="18" t="s">
        <v>1447</v>
      </c>
    </row>
    <row r="26" spans="2:2" ht="17.399999999999999" x14ac:dyDescent="0.3">
      <c r="B26" s="18" t="s">
        <v>1448</v>
      </c>
    </row>
    <row r="27" spans="2:2" ht="17.399999999999999" x14ac:dyDescent="0.3">
      <c r="B27" s="18" t="s">
        <v>1449</v>
      </c>
    </row>
    <row r="28" spans="2:2" x14ac:dyDescent="0.3">
      <c r="B28" s="8"/>
    </row>
    <row r="29" spans="2:2" x14ac:dyDescent="0.3">
      <c r="B29" s="8"/>
    </row>
    <row r="30" spans="2:2" ht="28.8" x14ac:dyDescent="0.3">
      <c r="B30" s="19" t="s">
        <v>1450</v>
      </c>
    </row>
    <row r="31" spans="2:2" ht="28.8" x14ac:dyDescent="0.3">
      <c r="B31" s="19" t="s">
        <v>1451</v>
      </c>
    </row>
    <row r="32" spans="2:2" ht="86.4" x14ac:dyDescent="0.3">
      <c r="B32" s="19" t="s">
        <v>1452</v>
      </c>
    </row>
    <row r="33" spans="2:2" ht="43.2" x14ac:dyDescent="0.3">
      <c r="B33" s="19" t="s">
        <v>1453</v>
      </c>
    </row>
    <row r="34" spans="2:2" ht="86.4" x14ac:dyDescent="0.3">
      <c r="B34" s="19" t="s">
        <v>1454</v>
      </c>
    </row>
    <row r="35" spans="2:2" x14ac:dyDescent="0.3">
      <c r="B35" s="19" t="s">
        <v>1455</v>
      </c>
    </row>
    <row r="36" spans="2:2" ht="28.8" x14ac:dyDescent="0.3">
      <c r="B36" s="19" t="s">
        <v>1456</v>
      </c>
    </row>
    <row r="37" spans="2:2" ht="57.6" x14ac:dyDescent="0.3">
      <c r="B37" s="19" t="s">
        <v>1457</v>
      </c>
    </row>
    <row r="38" spans="2:2" ht="43.2" x14ac:dyDescent="0.3">
      <c r="B38" s="19" t="s">
        <v>1458</v>
      </c>
    </row>
    <row r="39" spans="2:2" ht="57.6" x14ac:dyDescent="0.3">
      <c r="B39" s="19" t="s">
        <v>1459</v>
      </c>
    </row>
    <row r="40" spans="2:2" ht="86.4" x14ac:dyDescent="0.3">
      <c r="B40" s="19" t="s">
        <v>1460</v>
      </c>
    </row>
  </sheetData>
  <hyperlinks>
    <hyperlink ref="B35" location="_ftnref6" display="_ftnref6" xr:uid="{98DCD980-6144-40A8-B9DB-1D37E0F8BCA2}"/>
    <hyperlink ref="B7" location="_ftn2" display="_ftn2" xr:uid="{7F8EB5AE-6B0C-402D-8528-BAC145E5D371}"/>
    <hyperlink ref="B6" location="_ftn1" display="_ftn1" xr:uid="{985EE931-B1C6-40F0-A279-DD123ACC76C3}"/>
    <hyperlink ref="B25" location="_ftn11" display="_ftn11" xr:uid="{CDCF1AC9-3349-4089-8105-5E50CD967B22}"/>
    <hyperlink ref="B23" location="_ftn10" display="_ftn10" xr:uid="{FAF43826-8F32-4876-A993-86D72BA434E1}"/>
    <hyperlink ref="B22" location="_ftn9" display="_ftn9" xr:uid="{EEA0AEC4-7990-4E8A-A37A-9F532BB6B1AC}"/>
    <hyperlink ref="B21" location="_ftn8" display="_ftn8" xr:uid="{0D28A634-8C6C-4D67-9EB8-441B66562165}"/>
    <hyperlink ref="B18" location="_ftn7" display="_ftn7" xr:uid="{3655E9CF-CCC0-43C1-9AF7-C89A8CA343DD}"/>
    <hyperlink ref="B17" location="_ftn6" display="_ftn6" xr:uid="{4AE5FFD3-DB54-4DA6-8E03-E32BFDBAC370}"/>
    <hyperlink ref="B16" location="_ftn5" display="_ftn5" xr:uid="{928FEE7F-55DE-4CFA-92E4-B4795195B128}"/>
    <hyperlink ref="B15" location="_ftn4" display="_ftn4" xr:uid="{68C32DF7-D8FF-463E-9E46-37207EF13A8D}"/>
    <hyperlink ref="B14" location="_ftn3" display="_ftn3" xr:uid="{C18703AB-60E4-41EF-BB9C-45E01B7864B5}"/>
    <hyperlink ref="B33" location="_ftnref4" display="_ftnref4" xr:uid="{B9BBEF0E-7FDE-4BE1-B2D7-CCDFF8D87A98}"/>
    <hyperlink ref="B36" location="_ftnref7" display="_ftnref7" xr:uid="{6BDA4843-4775-4E1D-B106-CB59E78A2C66}"/>
    <hyperlink ref="B34" location="_ftnref5" display="_ftnref5" xr:uid="{1DD576FA-542B-4656-B034-A1BEB3CF543D}"/>
  </hyperlink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8F01CD-AAD5-4DFA-A437-415C6665ED29}">
  <dimension ref="A1:L23"/>
  <sheetViews>
    <sheetView workbookViewId="0">
      <selection activeCell="A2" sqref="A2"/>
    </sheetView>
  </sheetViews>
  <sheetFormatPr defaultColWidth="8.6640625" defaultRowHeight="15.6" x14ac:dyDescent="0.3"/>
  <cols>
    <col min="1" max="1" width="25.5546875" style="10" customWidth="1"/>
    <col min="2" max="2" width="27.33203125" style="10" customWidth="1"/>
    <col min="3" max="3" width="21.6640625" style="10" customWidth="1"/>
    <col min="4" max="4" width="22.33203125" style="10" customWidth="1"/>
    <col min="5" max="6" width="23" style="10" customWidth="1"/>
    <col min="7" max="7" width="18.109375" style="10" customWidth="1"/>
    <col min="8" max="8" width="18.109375" style="1" customWidth="1"/>
    <col min="9" max="9" width="21.5546875" style="1" customWidth="1"/>
    <col min="10" max="10" width="16.109375" style="1" customWidth="1"/>
    <col min="11" max="11" width="16.33203125" style="1" customWidth="1"/>
    <col min="12" max="12" width="16.109375" style="1" customWidth="1"/>
    <col min="13" max="16384" width="8.6640625" style="1"/>
  </cols>
  <sheetData>
    <row r="1" spans="1:12" x14ac:dyDescent="0.3">
      <c r="A1" s="158" t="s">
        <v>14</v>
      </c>
    </row>
    <row r="2" spans="1:12" ht="16.2" thickBot="1" x14ac:dyDescent="0.35"/>
    <row r="3" spans="1:12" ht="31.8" thickBot="1" x14ac:dyDescent="0.35">
      <c r="A3" s="15" t="s">
        <v>15</v>
      </c>
      <c r="B3" s="16" t="s">
        <v>16</v>
      </c>
      <c r="C3" s="16" t="s">
        <v>17</v>
      </c>
      <c r="D3" s="16" t="s">
        <v>18</v>
      </c>
      <c r="E3" s="16" t="s">
        <v>19</v>
      </c>
      <c r="F3" s="16" t="s">
        <v>20</v>
      </c>
      <c r="G3" s="16" t="s">
        <v>21</v>
      </c>
      <c r="H3" s="16" t="s">
        <v>22</v>
      </c>
      <c r="I3" s="16" t="s">
        <v>23</v>
      </c>
      <c r="J3" s="16" t="s">
        <v>24</v>
      </c>
    </row>
    <row r="4" spans="1:12" ht="31.8" thickBot="1" x14ac:dyDescent="0.35">
      <c r="A4" s="123"/>
      <c r="B4" s="124"/>
      <c r="C4" s="124"/>
      <c r="D4" s="125"/>
      <c r="E4" s="124" t="s">
        <v>27</v>
      </c>
      <c r="F4" s="124"/>
      <c r="G4" s="124"/>
      <c r="H4" s="124"/>
      <c r="I4" s="124" t="s">
        <v>28</v>
      </c>
      <c r="J4" s="124"/>
    </row>
    <row r="5" spans="1:12" ht="16.2" thickBot="1" x14ac:dyDescent="0.35"/>
    <row r="6" spans="1:12" ht="31.8" thickBot="1" x14ac:dyDescent="0.35">
      <c r="A6" s="15" t="s">
        <v>29</v>
      </c>
      <c r="B6" s="126"/>
      <c r="F6" s="15" t="s">
        <v>30</v>
      </c>
      <c r="G6" s="124"/>
      <c r="I6" s="15" t="s">
        <v>31</v>
      </c>
      <c r="J6" s="16">
        <v>2027</v>
      </c>
    </row>
    <row r="7" spans="1:12" ht="31.8" thickBot="1" x14ac:dyDescent="0.35">
      <c r="A7" s="15" t="s">
        <v>32</v>
      </c>
      <c r="B7" s="138" t="e">
        <f>I17</f>
        <v>#VALUE!</v>
      </c>
      <c r="F7" s="15" t="s">
        <v>33</v>
      </c>
      <c r="G7" s="114" t="e">
        <f>ROUND(IF($I$4="PG&amp;E",IF($B$4="Distribution regulator station(s) only", INDEX('PGnE Costs Data'!F15:W15,MATCH('PGnE Calculations'!$D$4,'PGnE Costs Data'!F$5:W$5, 0)), INDEX('PGnE Costs Data'!F14:W14,MATCH('PGnE Calculations'!$D$4,'PGnE Costs Data'!F$5:W$5, 0))), "")/365,0)</f>
        <v>#N/A</v>
      </c>
      <c r="I7" s="20" t="s">
        <v>34</v>
      </c>
      <c r="J7" s="16">
        <v>7.2499999999999995E-2</v>
      </c>
    </row>
    <row r="8" spans="1:12" ht="63" thickBot="1" x14ac:dyDescent="0.35">
      <c r="A8" s="15" t="s">
        <v>35</v>
      </c>
      <c r="B8" s="139" t="str">
        <f>IFERROR(B7/B6,"")</f>
        <v/>
      </c>
      <c r="F8" s="15" t="s">
        <v>36</v>
      </c>
      <c r="G8" s="124"/>
      <c r="I8" s="20" t="s">
        <v>37</v>
      </c>
      <c r="J8" s="16">
        <f>J7</f>
        <v>7.2499999999999995E-2</v>
      </c>
    </row>
    <row r="9" spans="1:12" ht="47.4" thickBot="1" x14ac:dyDescent="0.35">
      <c r="E9" s="1"/>
      <c r="F9" s="20" t="s">
        <v>38</v>
      </c>
      <c r="G9" s="124"/>
      <c r="I9" s="51" t="s">
        <v>39</v>
      </c>
      <c r="J9" s="16">
        <v>0.04</v>
      </c>
    </row>
    <row r="10" spans="1:12" ht="16.2" thickBot="1" x14ac:dyDescent="0.35">
      <c r="E10" s="1"/>
      <c r="J10" s="137"/>
      <c r="K10" s="137"/>
    </row>
    <row r="11" spans="1:12" ht="33" customHeight="1" thickBot="1" x14ac:dyDescent="0.35">
      <c r="A11" s="10" t="s">
        <v>4</v>
      </c>
      <c r="J11" s="277" t="s">
        <v>40</v>
      </c>
      <c r="K11" s="278"/>
    </row>
    <row r="12" spans="1:12" ht="78.599999999999994" thickBot="1" x14ac:dyDescent="0.35">
      <c r="A12" s="2" t="s">
        <v>41</v>
      </c>
      <c r="B12" s="3" t="s">
        <v>42</v>
      </c>
      <c r="C12" s="3" t="s">
        <v>43</v>
      </c>
      <c r="D12" s="3" t="s">
        <v>44</v>
      </c>
      <c r="E12" s="3" t="s">
        <v>45</v>
      </c>
      <c r="F12" s="3" t="s">
        <v>46</v>
      </c>
      <c r="G12" s="3" t="s">
        <v>47</v>
      </c>
      <c r="H12" s="3" t="s">
        <v>48</v>
      </c>
      <c r="I12" s="3" t="s">
        <v>49</v>
      </c>
      <c r="J12" s="3" t="s">
        <v>50</v>
      </c>
      <c r="K12" s="3" t="s">
        <v>51</v>
      </c>
      <c r="L12" s="3" t="s">
        <v>52</v>
      </c>
    </row>
    <row r="13" spans="1:12" ht="16.2" thickBot="1" x14ac:dyDescent="0.35">
      <c r="A13" s="120" t="s">
        <v>54</v>
      </c>
      <c r="B13" s="5" t="s">
        <v>55</v>
      </c>
      <c r="C13" s="125" t="s">
        <v>1478</v>
      </c>
      <c r="D13" s="140" t="e">
        <f>IF($I$4="PG&amp;E",IF($B$4="Distribution services only", INDEX('PGnE Costs Data'!$F9:$W9,MATCH('PGnE Calculations'!$D$4,'PGnE Costs Data'!$F$5:$W$5,0)), IF(OR($D$4="East Bay",$D$4="San Francisco"), 0, INDEX('PGnE Costs Data'!$F9:$W9,MATCH('PGnE Calculations'!$D$4,'PGnE Costs Data'!$F$5:$W$5,0)))), "")</f>
        <v>#N/A</v>
      </c>
      <c r="E13" s="140" t="e">
        <f>C13*D13*(1+'PGnE Calculations'!$J$9)^('PGnE Calculations'!$G$6-2022)</f>
        <v>#VALUE!</v>
      </c>
      <c r="F13" s="140">
        <f>'PGnE NPV Calc Details'!$E$3</f>
        <v>0</v>
      </c>
      <c r="G13" s="141"/>
      <c r="H13" s="141"/>
      <c r="I13" s="56">
        <f>F13</f>
        <v>0</v>
      </c>
      <c r="J13" s="142"/>
      <c r="K13" s="142"/>
      <c r="L13" s="56">
        <f>SUM(I13:K13)</f>
        <v>0</v>
      </c>
    </row>
    <row r="14" spans="1:12" ht="16.2" thickBot="1" x14ac:dyDescent="0.35">
      <c r="A14" s="120" t="s">
        <v>56</v>
      </c>
      <c r="B14" s="5" t="s">
        <v>57</v>
      </c>
      <c r="C14" s="125" t="s">
        <v>1479</v>
      </c>
      <c r="D14" s="140" t="e">
        <f>IF($I$4="PG&amp;E",IF($B$4="Distribution services only", 0, IF(OR(D4="East Bay", D4="San Francisco"),  INDEX('PGnE Costs Data'!F11:W11,MATCH('PGnE Calculations'!$D$4,'PGnE Costs Data'!F$5:W$5, 0)), INDEX('PGnE Costs Data'!F10:W10,MATCH('PGnE Calculations'!$D$4,'PGnE Costs Data'!F$5:W$5, 0)))), "")</f>
        <v>#N/A</v>
      </c>
      <c r="E14" s="140" t="e">
        <f>C14*D14*(1+'PGnE Calculations'!$J$9)^('PGnE Calculations'!$G$6-2022)</f>
        <v>#VALUE!</v>
      </c>
      <c r="F14" s="140" t="e">
        <f>'PGnE NPV Calc Details'!$J$3</f>
        <v>#VALUE!</v>
      </c>
      <c r="G14" s="141"/>
      <c r="H14" s="141"/>
      <c r="I14" s="56" t="e">
        <f>F14</f>
        <v>#VALUE!</v>
      </c>
      <c r="J14" s="142"/>
      <c r="K14" s="142"/>
      <c r="L14" s="56" t="e">
        <f t="shared" ref="L14:L16" si="0">SUM(I14:K14)</f>
        <v>#VALUE!</v>
      </c>
    </row>
    <row r="15" spans="1:12" ht="31.8" thickBot="1" x14ac:dyDescent="0.35">
      <c r="A15" s="120" t="s">
        <v>58</v>
      </c>
      <c r="B15" s="5" t="s">
        <v>59</v>
      </c>
      <c r="C15" s="125" t="s">
        <v>1480</v>
      </c>
      <c r="D15" s="140" t="e">
        <f>IF($I$4="PG&amp;E",IF(OR($B$4="Distribution mains and services", $B$4="Distribution mains only", $B$4="Distribution services only"), 0, INDEX('PGnE Costs Data'!F12:W12,MATCH('PGnE Calculations'!$D$4,'PGnE Costs Data'!F$5:W$5, 0))), "")</f>
        <v>#N/A</v>
      </c>
      <c r="E15" s="56" t="str">
        <f>IFERROR(C15*D15*(1+'PGnE Calculations'!$J$9)^('PGnE Calculations'!$G$6-2022), "")</f>
        <v/>
      </c>
      <c r="F15" s="140" t="e">
        <f>'PGnE NPV Calc Details'!$N$3</f>
        <v>#VALUE!</v>
      </c>
      <c r="G15" s="141"/>
      <c r="H15" s="141"/>
      <c r="I15" s="56" t="e">
        <f>F15</f>
        <v>#VALUE!</v>
      </c>
      <c r="J15" s="142"/>
      <c r="K15" s="142"/>
      <c r="L15" s="56" t="e">
        <f t="shared" si="0"/>
        <v>#VALUE!</v>
      </c>
    </row>
    <row r="16" spans="1:12" ht="31.8" thickBot="1" x14ac:dyDescent="0.35">
      <c r="A16" s="120" t="s">
        <v>60</v>
      </c>
      <c r="B16" s="5" t="s">
        <v>61</v>
      </c>
      <c r="C16" s="11"/>
      <c r="D16" s="141"/>
      <c r="E16" s="143"/>
      <c r="F16" s="141"/>
      <c r="G16" s="140">
        <f>$B$6 * IF($I$4="PG&amp;E",'PGnE Costs Data'!$Y$13*$B$6, "")</f>
        <v>0</v>
      </c>
      <c r="H16" s="140" t="e">
        <f>'PGnE NPV Calc Details'!Q3</f>
        <v>#N/A</v>
      </c>
      <c r="I16" s="56" t="e">
        <f>H16</f>
        <v>#N/A</v>
      </c>
      <c r="J16" s="142"/>
      <c r="K16" s="142"/>
      <c r="L16" s="56" t="e">
        <f t="shared" si="0"/>
        <v>#N/A</v>
      </c>
    </row>
    <row r="17" spans="1:12" ht="16.2" thickBot="1" x14ac:dyDescent="0.35">
      <c r="A17" s="120" t="s">
        <v>62</v>
      </c>
      <c r="B17" s="5" t="s">
        <v>63</v>
      </c>
      <c r="C17" s="135"/>
      <c r="D17" s="135"/>
      <c r="E17" s="144" t="e">
        <f>SUM(E13:E16)</f>
        <v>#VALUE!</v>
      </c>
      <c r="F17" s="144" t="e">
        <f t="shared" ref="F17:L17" si="1">SUM(F13:F16)</f>
        <v>#VALUE!</v>
      </c>
      <c r="G17" s="144">
        <f t="shared" si="1"/>
        <v>0</v>
      </c>
      <c r="H17" s="144" t="e">
        <f t="shared" si="1"/>
        <v>#N/A</v>
      </c>
      <c r="I17" s="145" t="e">
        <f>SUM(I13:I16)</f>
        <v>#VALUE!</v>
      </c>
      <c r="J17" s="85">
        <f t="shared" si="1"/>
        <v>0</v>
      </c>
      <c r="K17" s="85">
        <f t="shared" si="1"/>
        <v>0</v>
      </c>
      <c r="L17" s="85" t="e">
        <f t="shared" si="1"/>
        <v>#VALUE!</v>
      </c>
    </row>
    <row r="18" spans="1:12" x14ac:dyDescent="0.3">
      <c r="A18" s="8"/>
      <c r="B18" s="8"/>
      <c r="C18" s="8"/>
      <c r="D18" s="8"/>
      <c r="E18" s="8"/>
      <c r="F18" s="8"/>
      <c r="G18" s="8"/>
    </row>
    <row r="19" spans="1:12" x14ac:dyDescent="0.3">
      <c r="A19" s="8"/>
      <c r="B19" s="8"/>
      <c r="C19" s="8"/>
      <c r="D19" s="8"/>
      <c r="E19" s="8"/>
      <c r="F19" s="8"/>
      <c r="G19" s="8"/>
    </row>
    <row r="20" spans="1:12" x14ac:dyDescent="0.3">
      <c r="A20" s="9"/>
      <c r="B20" s="8"/>
      <c r="C20" s="8"/>
      <c r="D20" s="8"/>
      <c r="E20" s="8"/>
      <c r="F20" s="8"/>
      <c r="G20" s="8"/>
    </row>
    <row r="21" spans="1:12" x14ac:dyDescent="0.3">
      <c r="A21" s="1"/>
    </row>
    <row r="23" spans="1:12" x14ac:dyDescent="0.3">
      <c r="A23" s="1"/>
    </row>
  </sheetData>
  <mergeCells count="1">
    <mergeCell ref="J11:K11"/>
  </mergeCells>
  <phoneticPr fontId="15" type="noConversion"/>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xr:uid="{3F3EFFE7-475F-4509-9288-9B2810AFFD0C}">
          <x14:formula1>
            <xm:f>'Drop-Down Menus'!$A$3:$A$6</xm:f>
          </x14:formula1>
          <xm:sqref>I4</xm:sqref>
        </x14:dataValidation>
        <x14:dataValidation type="list" allowBlank="1" showInputMessage="1" showErrorMessage="1" xr:uid="{73D79515-6E46-48EC-B312-13C15EA8426F}">
          <x14:formula1>
            <xm:f>'Drop-Down Menus'!$C$3:$C$79</xm:f>
          </x14:formula1>
          <xm:sqref>D4</xm:sqref>
        </x14:dataValidation>
        <x14:dataValidation type="list" allowBlank="1" showInputMessage="1" showErrorMessage="1" xr:uid="{DB631753-5A11-4C8B-894D-D0422173C446}">
          <x14:formula1>
            <xm:f>'Drop-Down Menus'!$B$3:$B$9</xm:f>
          </x14:formula1>
          <xm:sqref>B4</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873687-FAD5-41EF-91FD-0407553BB022}">
  <dimension ref="A1:C7"/>
  <sheetViews>
    <sheetView workbookViewId="0"/>
  </sheetViews>
  <sheetFormatPr defaultColWidth="8.6640625" defaultRowHeight="15.6" x14ac:dyDescent="0.3"/>
  <cols>
    <col min="1" max="1" width="20.33203125" style="10" customWidth="1"/>
    <col min="2" max="2" width="26.33203125" style="10" customWidth="1"/>
    <col min="3" max="3" width="43.6640625" style="10" customWidth="1"/>
    <col min="4" max="16384" width="8.6640625" style="10"/>
  </cols>
  <sheetData>
    <row r="1" spans="1:3" ht="16.2" thickBot="1" x14ac:dyDescent="0.35">
      <c r="A1" s="14" t="s">
        <v>195</v>
      </c>
      <c r="B1" s="14" t="s">
        <v>1461</v>
      </c>
      <c r="C1" s="14" t="s">
        <v>53</v>
      </c>
    </row>
    <row r="2" spans="1:3" ht="16.2" thickBot="1" x14ac:dyDescent="0.35">
      <c r="A2" s="5" t="s">
        <v>209</v>
      </c>
      <c r="B2" s="5" t="s">
        <v>1462</v>
      </c>
      <c r="C2" s="5" t="s">
        <v>1463</v>
      </c>
    </row>
    <row r="3" spans="1:3" ht="16.2" thickBot="1" x14ac:dyDescent="0.35">
      <c r="A3" s="5" t="s">
        <v>209</v>
      </c>
      <c r="B3" s="5" t="s">
        <v>1464</v>
      </c>
      <c r="C3" s="5" t="s">
        <v>1465</v>
      </c>
    </row>
    <row r="4" spans="1:3" ht="47.4" thickBot="1" x14ac:dyDescent="0.35">
      <c r="A4" s="5" t="s">
        <v>209</v>
      </c>
      <c r="B4" s="5" t="s">
        <v>1466</v>
      </c>
      <c r="C4" s="7" t="s">
        <v>1467</v>
      </c>
    </row>
    <row r="5" spans="1:3" ht="16.2" thickBot="1" x14ac:dyDescent="0.35">
      <c r="A5" s="5" t="s">
        <v>209</v>
      </c>
      <c r="B5" s="5" t="s">
        <v>1468</v>
      </c>
      <c r="C5" s="5" t="s">
        <v>1469</v>
      </c>
    </row>
    <row r="6" spans="1:3" ht="171.6" x14ac:dyDescent="0.3">
      <c r="A6" s="5" t="s">
        <v>209</v>
      </c>
      <c r="B6" s="5" t="s">
        <v>1470</v>
      </c>
      <c r="C6" s="5" t="s">
        <v>1471</v>
      </c>
    </row>
    <row r="7" spans="1:3" ht="47.4" thickBot="1" x14ac:dyDescent="0.35">
      <c r="A7" s="5" t="s">
        <v>209</v>
      </c>
      <c r="B7" s="5" t="s">
        <v>1472</v>
      </c>
      <c r="C7" s="5" t="s">
        <v>1473</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DA7A69-0AFD-474A-803E-A082CB06050A}">
  <dimension ref="A1:Q103"/>
  <sheetViews>
    <sheetView workbookViewId="0">
      <selection activeCell="E3" sqref="E3"/>
    </sheetView>
  </sheetViews>
  <sheetFormatPr defaultRowHeight="14.4" x14ac:dyDescent="0.3"/>
  <cols>
    <col min="1" max="1" width="9.5546875" customWidth="1"/>
    <col min="2" max="2" width="10.44140625" bestFit="1" customWidth="1"/>
    <col min="3" max="16" width="17.44140625" customWidth="1"/>
    <col min="17" max="17" width="21.44140625" customWidth="1"/>
  </cols>
  <sheetData>
    <row r="1" spans="1:17" ht="16.2" thickBot="1" x14ac:dyDescent="0.35">
      <c r="A1" s="64"/>
      <c r="B1" s="64"/>
      <c r="C1" s="279" t="s">
        <v>64</v>
      </c>
      <c r="D1" s="279"/>
      <c r="E1" s="279"/>
      <c r="F1" s="279"/>
      <c r="G1" s="279" t="s">
        <v>65</v>
      </c>
      <c r="H1" s="279"/>
      <c r="I1" s="279"/>
      <c r="J1" s="279"/>
      <c r="K1" s="279" t="s">
        <v>66</v>
      </c>
      <c r="L1" s="279"/>
      <c r="M1" s="279"/>
      <c r="N1" s="279"/>
      <c r="O1" s="279" t="s">
        <v>67</v>
      </c>
      <c r="P1" s="279"/>
      <c r="Q1" s="279"/>
    </row>
    <row r="2" spans="1:17" ht="63" thickBot="1" x14ac:dyDescent="0.35">
      <c r="A2" s="15" t="s">
        <v>68</v>
      </c>
      <c r="B2" s="15" t="s">
        <v>69</v>
      </c>
      <c r="C2" s="15" t="s">
        <v>70</v>
      </c>
      <c r="D2" s="15" t="s">
        <v>71</v>
      </c>
      <c r="E2" s="15" t="s">
        <v>72</v>
      </c>
      <c r="F2" s="15" t="s">
        <v>73</v>
      </c>
      <c r="G2" s="15" t="s">
        <v>70</v>
      </c>
      <c r="H2" s="15" t="s">
        <v>71</v>
      </c>
      <c r="I2" s="15" t="s">
        <v>73</v>
      </c>
      <c r="J2" s="15" t="s">
        <v>73</v>
      </c>
      <c r="K2" s="15" t="s">
        <v>70</v>
      </c>
      <c r="L2" s="15" t="s">
        <v>71</v>
      </c>
      <c r="M2" s="15" t="s">
        <v>73</v>
      </c>
      <c r="N2" s="15" t="s">
        <v>73</v>
      </c>
      <c r="O2" s="15" t="s">
        <v>74</v>
      </c>
      <c r="P2" s="15" t="s">
        <v>71</v>
      </c>
      <c r="Q2" s="15" t="s">
        <v>75</v>
      </c>
    </row>
    <row r="3" spans="1:17" ht="16.2" thickBot="1" x14ac:dyDescent="0.35">
      <c r="A3" s="154" t="s">
        <v>63</v>
      </c>
      <c r="B3" s="3"/>
      <c r="C3" s="155" t="e">
        <f>SUM(C4:C103)</f>
        <v>#N/A</v>
      </c>
      <c r="D3" s="156" t="e">
        <f t="shared" ref="D3" si="0">SUM(D4:D103)</f>
        <v>#VALUE!</v>
      </c>
      <c r="E3" s="156">
        <f>_xlfn.AGGREGATE(9,6,E4:E103)</f>
        <v>0</v>
      </c>
      <c r="F3" s="157" t="e">
        <f>('PGnE Calculations'!$E$13)*(1/((1+'PGnE Calculations'!$J$7)^('PGnE Calculations'!$G$6-'PGnE Calculations'!$J$6-1)))</f>
        <v>#VALUE!</v>
      </c>
      <c r="G3" s="155" t="e">
        <f>SUM(G4:G103)</f>
        <v>#N/A</v>
      </c>
      <c r="H3" s="156" t="e">
        <f t="shared" ref="H3" si="1">SUM(H4:H103)</f>
        <v>#VALUE!</v>
      </c>
      <c r="I3" s="156">
        <f>_xlfn.AGGREGATE(9,6,I4:I103)</f>
        <v>0</v>
      </c>
      <c r="J3" s="157" t="e">
        <f>('PGnE Calculations'!$E$14)*(1/((1+'PGnE Calculations'!$J$7)^('PGnE Calculations'!$G$6-'PGnE Calculations'!$J$6-1)))</f>
        <v>#VALUE!</v>
      </c>
      <c r="K3" s="155" t="e">
        <f>SUM(K4:K103)</f>
        <v>#N/A</v>
      </c>
      <c r="L3" s="156" t="e">
        <f t="shared" ref="L3" si="2">SUM(L4:L103)</f>
        <v>#VALUE!</v>
      </c>
      <c r="M3" s="156">
        <f>_xlfn.AGGREGATE(9,6,M4:M103)</f>
        <v>0</v>
      </c>
      <c r="N3" s="157" t="e">
        <f>('PGnE Calculations'!$E$15)*(1/((1+'PGnE Calculations'!$J$7)^('PGnE Calculations'!$G$6-'PGnE Calculations'!$J$6-1)))</f>
        <v>#VALUE!</v>
      </c>
      <c r="O3" s="155" t="e">
        <f>SUM(O4:O103)</f>
        <v>#N/A</v>
      </c>
      <c r="P3" s="156">
        <f>_xlfn.AGGREGATE(9,6,P4:P103)</f>
        <v>0</v>
      </c>
      <c r="Q3" s="157" t="e">
        <f t="shared" ref="Q3" si="3">SUM(Q4:Q103)</f>
        <v>#N/A</v>
      </c>
    </row>
    <row r="4" spans="1:17" ht="15.6" x14ac:dyDescent="0.3">
      <c r="A4" s="148">
        <v>1</v>
      </c>
      <c r="B4" s="63" t="e">
        <f t="array" ref="B4:B47">'PGnE Calculations'!$G$6-'PGnE Calculations'!$J$6+_xlfn.SEQUENCE('PGnE Calculations'!$G$8+'PGnE Calculations'!$G$7)-1</f>
        <v>#N/A</v>
      </c>
      <c r="C4" s="149" t="e" cm="1">
        <f t="array" ref="C4">_xlfn.SEQUENCE('PGnE Calculations'!$G$8+'PGnE Calculations'!$G$7, 1, 'PGnE Calculations'!$E$13/('PGnE Calculations'!$G$8+'PGnE Calculations'!$G$7),0)</f>
        <v>#N/A</v>
      </c>
      <c r="D4" s="136" t="e" cm="1">
        <f t="array" ref="D4">'PGnE Calculations'!$J$7*_xlfn.LAMBDA(_xlpm.i,'PGnE Calculations'!$E$13-($C$4)*(_xlpm.i-1))(_xlfn.SEQUENCE('PGnE Calculations'!$G$8+'PGnE Calculations'!$G$7))</f>
        <v>#VALUE!</v>
      </c>
      <c r="E4" s="136" t="e">
        <f>(C4+D4)*(1/((1+'PGnE Calculations'!$J$8)^$B4))</f>
        <v>#N/A</v>
      </c>
      <c r="F4" s="150"/>
      <c r="G4" s="149" t="e" cm="1">
        <f t="array" ref="G4">_xlfn.SEQUENCE('PGnE Calculations'!$G$8+'PGnE Calculations'!$G$7, 1, 'PGnE Calculations'!$E$14/('PGnE Calculations'!$G$8+'PGnE Calculations'!$G$7),0)</f>
        <v>#N/A</v>
      </c>
      <c r="H4" s="136" t="e" cm="1">
        <f t="array" ref="H4">'PGnE Calculations'!$J$7*_xlfn.LAMBDA(_xlpm.i,'PGnE Calculations'!$E$14-($G$4)*(_xlpm.i-1))(_xlfn.SEQUENCE('PGnE Calculations'!$G$8+'PGnE Calculations'!$G$7))</f>
        <v>#VALUE!</v>
      </c>
      <c r="I4" s="136" t="e">
        <f>(G4+H4)*(1/((1+'PGnE Calculations'!$J$8)^$B4))</f>
        <v>#N/A</v>
      </c>
      <c r="J4" s="150"/>
      <c r="K4" s="149" t="e" cm="1">
        <f t="array" ref="K4">_xlfn.SEQUENCE('PGnE Calculations'!$G$8+'PGnE Calculations'!$G$7, 1, 'PGnE Calculations'!$E$15/('PGnE Calculations'!$G$8+'PGnE Calculations'!$G$7),0)</f>
        <v>#N/A</v>
      </c>
      <c r="L4" s="136" t="e" cm="1">
        <f t="array" ref="L4">'PGnE Calculations'!$J$7*_xlfn.LAMBDA(_xlpm.i,'PGnE Calculations'!$E$15-($K$4)*(_xlpm.i-1))(_xlfn.SEQUENCE('PGnE Calculations'!$G$8+'PGnE Calculations'!$G$7))</f>
        <v>#VALUE!</v>
      </c>
      <c r="M4" s="136" t="e">
        <f>(K4+L4)*(1/((1+'PGnE Calculations'!$J$8)^$B4))</f>
        <v>#N/A</v>
      </c>
      <c r="N4" s="150"/>
      <c r="O4" s="149" t="e" cm="1">
        <f t="array" ref="O4">_xlfn.SEQUENCE('PGnE Calculations'!$G$8+'PGnE Calculations'!$G$7, 1, 'PGnE Calculations'!$G$16,0)</f>
        <v>#N/A</v>
      </c>
      <c r="P4" s="136" t="e" cm="1">
        <f t="array" ref="P4">_xlfn.SEQUENCE('PGnE Calculations'!$G$8+'PGnE Calculations'!$G$7, 1, O4*'PGnE Calculations'!$J$7,0)</f>
        <v>#N/A</v>
      </c>
      <c r="Q4" s="150" t="e">
        <f>(O4+P4)*(1/((1+'PGnE Calculations'!$J$8)^$B4))</f>
        <v>#N/A</v>
      </c>
    </row>
    <row r="5" spans="1:17" ht="15.6" x14ac:dyDescent="0.3">
      <c r="A5" s="148">
        <v>2</v>
      </c>
      <c r="B5" s="63" t="e">
        <v>#N/A</v>
      </c>
      <c r="C5" s="149"/>
      <c r="D5" s="136"/>
      <c r="E5" s="136" t="e">
        <f>(C5+D5)*(1/((1+'PGnE Calculations'!$J$8)^$B5))</f>
        <v>#N/A</v>
      </c>
      <c r="F5" s="150"/>
      <c r="G5" s="149"/>
      <c r="H5" s="136"/>
      <c r="I5" s="136" t="e">
        <f>(G5+H5)*(1/((1+'PGnE Calculations'!$J$8)^$B5))</f>
        <v>#N/A</v>
      </c>
      <c r="J5" s="150"/>
      <c r="K5" s="149"/>
      <c r="L5" s="136"/>
      <c r="M5" s="136" t="e">
        <f>(K5+L5)*(1/((1+'PGnE Calculations'!$J$8)^$B5))</f>
        <v>#N/A</v>
      </c>
      <c r="N5" s="150"/>
      <c r="O5" s="149"/>
      <c r="P5" s="136"/>
      <c r="Q5" s="150" t="e">
        <f>(O5+P5)*(1/((1+'PGnE Calculations'!$J$8)^$B5))</f>
        <v>#N/A</v>
      </c>
    </row>
    <row r="6" spans="1:17" ht="15.6" x14ac:dyDescent="0.3">
      <c r="A6" s="148">
        <v>3</v>
      </c>
      <c r="B6" s="63" t="e">
        <v>#N/A</v>
      </c>
      <c r="C6" s="149"/>
      <c r="D6" s="136"/>
      <c r="E6" s="136" t="e">
        <f>(C6+D6)*(1/((1+'PGnE Calculations'!$J$8)^$B6))</f>
        <v>#N/A</v>
      </c>
      <c r="F6" s="150"/>
      <c r="G6" s="149"/>
      <c r="H6" s="136"/>
      <c r="I6" s="136" t="e">
        <f>(G6+H6)*(1/((1+'PGnE Calculations'!$J$8)^$B6))</f>
        <v>#N/A</v>
      </c>
      <c r="J6" s="150"/>
      <c r="K6" s="149"/>
      <c r="L6" s="136"/>
      <c r="M6" s="136" t="e">
        <f>(K6+L6)*(1/((1+'PGnE Calculations'!$J$8)^$B6))</f>
        <v>#N/A</v>
      </c>
      <c r="N6" s="150"/>
      <c r="O6" s="149"/>
      <c r="P6" s="136"/>
      <c r="Q6" s="150" t="e">
        <f>(O6+P6)*(1/((1+'PGnE Calculations'!$J$8)^$B6))</f>
        <v>#N/A</v>
      </c>
    </row>
    <row r="7" spans="1:17" ht="15.6" x14ac:dyDescent="0.3">
      <c r="A7" s="148">
        <v>4</v>
      </c>
      <c r="B7" s="63" t="e">
        <v>#N/A</v>
      </c>
      <c r="C7" s="149"/>
      <c r="D7" s="136"/>
      <c r="E7" s="136" t="e">
        <f>(C7+D7)*(1/((1+'PGnE Calculations'!$J$8)^$B7))</f>
        <v>#N/A</v>
      </c>
      <c r="F7" s="150"/>
      <c r="G7" s="149"/>
      <c r="H7" s="136"/>
      <c r="I7" s="136" t="e">
        <f>(G7+H7)*(1/((1+'PGnE Calculations'!$J$8)^$B7))</f>
        <v>#N/A</v>
      </c>
      <c r="J7" s="150"/>
      <c r="K7" s="149"/>
      <c r="L7" s="136"/>
      <c r="M7" s="136" t="e">
        <f>(K7+L7)*(1/((1+'PGnE Calculations'!$J$8)^$B7))</f>
        <v>#N/A</v>
      </c>
      <c r="N7" s="150"/>
      <c r="O7" s="149"/>
      <c r="P7" s="136"/>
      <c r="Q7" s="150" t="e">
        <f>(O7+P7)*(1/((1+'PGnE Calculations'!$J$8)^$B7))</f>
        <v>#N/A</v>
      </c>
    </row>
    <row r="8" spans="1:17" ht="15.6" x14ac:dyDescent="0.3">
      <c r="A8" s="148">
        <v>5</v>
      </c>
      <c r="B8" s="63" t="e">
        <v>#N/A</v>
      </c>
      <c r="C8" s="149"/>
      <c r="D8" s="136"/>
      <c r="E8" s="136" t="e">
        <f>(C8+D8)*(1/((1+'PGnE Calculations'!$J$8)^$B8))</f>
        <v>#N/A</v>
      </c>
      <c r="F8" s="150"/>
      <c r="G8" s="149"/>
      <c r="H8" s="136"/>
      <c r="I8" s="136" t="e">
        <f>(G8+H8)*(1/((1+'PGnE Calculations'!$J$8)^$B8))</f>
        <v>#N/A</v>
      </c>
      <c r="J8" s="150"/>
      <c r="K8" s="149"/>
      <c r="L8" s="136"/>
      <c r="M8" s="136" t="e">
        <f>(K8+L8)*(1/((1+'PGnE Calculations'!$J$8)^$B8))</f>
        <v>#N/A</v>
      </c>
      <c r="N8" s="150"/>
      <c r="O8" s="149"/>
      <c r="P8" s="136"/>
      <c r="Q8" s="150" t="e">
        <f>(O8+P8)*(1/((1+'PGnE Calculations'!$J$8)^$B8))</f>
        <v>#N/A</v>
      </c>
    </row>
    <row r="9" spans="1:17" ht="15.6" x14ac:dyDescent="0.3">
      <c r="A9" s="148">
        <v>6</v>
      </c>
      <c r="B9" s="63" t="e">
        <v>#N/A</v>
      </c>
      <c r="C9" s="149"/>
      <c r="D9" s="136"/>
      <c r="E9" s="136" t="e">
        <f>(C9+D9)*(1/((1+'PGnE Calculations'!$J$8)^$B9))</f>
        <v>#N/A</v>
      </c>
      <c r="F9" s="150"/>
      <c r="G9" s="149"/>
      <c r="H9" s="136"/>
      <c r="I9" s="136" t="e">
        <f>(G9+H9)*(1/((1+'PGnE Calculations'!$J$8)^$B9))</f>
        <v>#N/A</v>
      </c>
      <c r="J9" s="150"/>
      <c r="K9" s="149"/>
      <c r="L9" s="136"/>
      <c r="M9" s="136" t="e">
        <f>(K9+L9)*(1/((1+'PGnE Calculations'!$J$8)^$B9))</f>
        <v>#N/A</v>
      </c>
      <c r="N9" s="150"/>
      <c r="O9" s="149"/>
      <c r="P9" s="136"/>
      <c r="Q9" s="150" t="e">
        <f>(O9+P9)*(1/((1+'PGnE Calculations'!$J$8)^$B9))</f>
        <v>#N/A</v>
      </c>
    </row>
    <row r="10" spans="1:17" ht="15.6" x14ac:dyDescent="0.3">
      <c r="A10" s="148">
        <v>7</v>
      </c>
      <c r="B10" s="63" t="e">
        <v>#N/A</v>
      </c>
      <c r="C10" s="149"/>
      <c r="D10" s="136"/>
      <c r="E10" s="136" t="e">
        <f>(C10+D10)*(1/((1+'PGnE Calculations'!$J$8)^$B10))</f>
        <v>#N/A</v>
      </c>
      <c r="F10" s="150"/>
      <c r="G10" s="149"/>
      <c r="H10" s="136"/>
      <c r="I10" s="136" t="e">
        <f>(G10+H10)*(1/((1+'PGnE Calculations'!$J$8)^$B10))</f>
        <v>#N/A</v>
      </c>
      <c r="J10" s="150"/>
      <c r="K10" s="149"/>
      <c r="L10" s="136"/>
      <c r="M10" s="136" t="e">
        <f>(K10+L10)*(1/((1+'PGnE Calculations'!$J$8)^$B10))</f>
        <v>#N/A</v>
      </c>
      <c r="N10" s="150"/>
      <c r="O10" s="149"/>
      <c r="P10" s="136"/>
      <c r="Q10" s="150" t="e">
        <f>(O10+P10)*(1/((1+'PGnE Calculations'!$J$8)^$B10))</f>
        <v>#N/A</v>
      </c>
    </row>
    <row r="11" spans="1:17" ht="15.6" x14ac:dyDescent="0.3">
      <c r="A11" s="148">
        <v>8</v>
      </c>
      <c r="B11" s="63" t="e">
        <v>#N/A</v>
      </c>
      <c r="C11" s="149"/>
      <c r="D11" s="136"/>
      <c r="E11" s="136" t="e">
        <f>(C11+D11)*(1/((1+'PGnE Calculations'!$J$8)^$B11))</f>
        <v>#N/A</v>
      </c>
      <c r="F11" s="150"/>
      <c r="G11" s="149"/>
      <c r="H11" s="136"/>
      <c r="I11" s="136" t="e">
        <f>(G11+H11)*(1/((1+'PGnE Calculations'!$J$8)^$B11))</f>
        <v>#N/A</v>
      </c>
      <c r="J11" s="150"/>
      <c r="K11" s="149"/>
      <c r="L11" s="136"/>
      <c r="M11" s="136" t="e">
        <f>(K11+L11)*(1/((1+'PGnE Calculations'!$J$8)^$B11))</f>
        <v>#N/A</v>
      </c>
      <c r="N11" s="150"/>
      <c r="O11" s="149"/>
      <c r="P11" s="136"/>
      <c r="Q11" s="150" t="e">
        <f>(O11+P11)*(1/((1+'PGnE Calculations'!$J$8)^$B11))</f>
        <v>#N/A</v>
      </c>
    </row>
    <row r="12" spans="1:17" ht="15.6" x14ac:dyDescent="0.3">
      <c r="A12" s="148">
        <v>9</v>
      </c>
      <c r="B12" s="63" t="e">
        <v>#N/A</v>
      </c>
      <c r="C12" s="149"/>
      <c r="D12" s="136"/>
      <c r="E12" s="136" t="e">
        <f>(C12+D12)*(1/((1+'PGnE Calculations'!$J$8)^$B12))</f>
        <v>#N/A</v>
      </c>
      <c r="F12" s="150"/>
      <c r="G12" s="149"/>
      <c r="H12" s="136"/>
      <c r="I12" s="136" t="e">
        <f>(G12+H12)*(1/((1+'PGnE Calculations'!$J$8)^$B12))</f>
        <v>#N/A</v>
      </c>
      <c r="J12" s="150"/>
      <c r="K12" s="149"/>
      <c r="L12" s="136"/>
      <c r="M12" s="136" t="e">
        <f>(K12+L12)*(1/((1+'PGnE Calculations'!$J$8)^$B12))</f>
        <v>#N/A</v>
      </c>
      <c r="N12" s="150"/>
      <c r="O12" s="149"/>
      <c r="P12" s="136"/>
      <c r="Q12" s="150" t="e">
        <f>(O12+P12)*(1/((1+'PGnE Calculations'!$J$8)^$B12))</f>
        <v>#N/A</v>
      </c>
    </row>
    <row r="13" spans="1:17" ht="15.6" x14ac:dyDescent="0.3">
      <c r="A13" s="148">
        <v>10</v>
      </c>
      <c r="B13" s="63" t="e">
        <v>#N/A</v>
      </c>
      <c r="C13" s="149"/>
      <c r="D13" s="136"/>
      <c r="E13" s="136" t="e">
        <f>(C13+D13)*(1/((1+'PGnE Calculations'!$J$8)^$B13))</f>
        <v>#N/A</v>
      </c>
      <c r="F13" s="150"/>
      <c r="G13" s="149"/>
      <c r="H13" s="136"/>
      <c r="I13" s="136" t="e">
        <f>(G13+H13)*(1/((1+'PGnE Calculations'!$J$8)^$B13))</f>
        <v>#N/A</v>
      </c>
      <c r="J13" s="150"/>
      <c r="K13" s="149"/>
      <c r="L13" s="136"/>
      <c r="M13" s="136" t="e">
        <f>(K13+L13)*(1/((1+'PGnE Calculations'!$J$8)^$B13))</f>
        <v>#N/A</v>
      </c>
      <c r="N13" s="150"/>
      <c r="O13" s="149"/>
      <c r="P13" s="136"/>
      <c r="Q13" s="150" t="e">
        <f>(O13+P13)*(1/((1+'PGnE Calculations'!$J$8)^$B13))</f>
        <v>#N/A</v>
      </c>
    </row>
    <row r="14" spans="1:17" ht="15.6" x14ac:dyDescent="0.3">
      <c r="A14" s="148">
        <v>11</v>
      </c>
      <c r="B14" s="63" t="e">
        <v>#N/A</v>
      </c>
      <c r="C14" s="149"/>
      <c r="D14" s="136"/>
      <c r="E14" s="136" t="e">
        <f>(C14+D14)*(1/((1+'PGnE Calculations'!$J$8)^$B14))</f>
        <v>#N/A</v>
      </c>
      <c r="F14" s="150"/>
      <c r="G14" s="149"/>
      <c r="H14" s="136"/>
      <c r="I14" s="136" t="e">
        <f>(G14+H14)*(1/((1+'PGnE Calculations'!$J$8)^$B14))</f>
        <v>#N/A</v>
      </c>
      <c r="J14" s="150"/>
      <c r="K14" s="149"/>
      <c r="L14" s="136"/>
      <c r="M14" s="136" t="e">
        <f>(K14+L14)*(1/((1+'PGnE Calculations'!$J$8)^$B14))</f>
        <v>#N/A</v>
      </c>
      <c r="N14" s="150"/>
      <c r="O14" s="149"/>
      <c r="P14" s="136"/>
      <c r="Q14" s="150" t="e">
        <f>(O14+P14)*(1/((1+'PGnE Calculations'!$J$8)^$B14))</f>
        <v>#N/A</v>
      </c>
    </row>
    <row r="15" spans="1:17" ht="15.6" x14ac:dyDescent="0.3">
      <c r="A15" s="148">
        <v>12</v>
      </c>
      <c r="B15" s="63" t="e">
        <v>#N/A</v>
      </c>
      <c r="C15" s="149"/>
      <c r="D15" s="136"/>
      <c r="E15" s="136" t="e">
        <f>(C15+D15)*(1/((1+'PGnE Calculations'!$J$8)^$B15))</f>
        <v>#N/A</v>
      </c>
      <c r="F15" s="150"/>
      <c r="G15" s="149"/>
      <c r="H15" s="136"/>
      <c r="I15" s="136" t="e">
        <f>(G15+H15)*(1/((1+'PGnE Calculations'!$J$8)^$B15))</f>
        <v>#N/A</v>
      </c>
      <c r="J15" s="150"/>
      <c r="K15" s="149"/>
      <c r="L15" s="136"/>
      <c r="M15" s="136" t="e">
        <f>(K15+L15)*(1/((1+'PGnE Calculations'!$J$8)^$B15))</f>
        <v>#N/A</v>
      </c>
      <c r="N15" s="150"/>
      <c r="O15" s="149"/>
      <c r="P15" s="136"/>
      <c r="Q15" s="150" t="e">
        <f>(O15+P15)*(1/((1+'PGnE Calculations'!$J$8)^$B15))</f>
        <v>#N/A</v>
      </c>
    </row>
    <row r="16" spans="1:17" ht="15.6" x14ac:dyDescent="0.3">
      <c r="A16" s="148">
        <v>13</v>
      </c>
      <c r="B16" s="63" t="e">
        <v>#N/A</v>
      </c>
      <c r="C16" s="149"/>
      <c r="D16" s="136"/>
      <c r="E16" s="136" t="e">
        <f>(C16+D16)*(1/((1+'PGnE Calculations'!$J$8)^$B16))</f>
        <v>#N/A</v>
      </c>
      <c r="F16" s="150"/>
      <c r="G16" s="149"/>
      <c r="H16" s="136"/>
      <c r="I16" s="136" t="e">
        <f>(G16+H16)*(1/((1+'PGnE Calculations'!$J$8)^$B16))</f>
        <v>#N/A</v>
      </c>
      <c r="J16" s="150"/>
      <c r="K16" s="149"/>
      <c r="L16" s="136"/>
      <c r="M16" s="136" t="e">
        <f>(K16+L16)*(1/((1+'PGnE Calculations'!$J$8)^$B16))</f>
        <v>#N/A</v>
      </c>
      <c r="N16" s="150"/>
      <c r="O16" s="149"/>
      <c r="P16" s="136"/>
      <c r="Q16" s="150" t="e">
        <f>(O16+P16)*(1/((1+'PGnE Calculations'!$J$8)^$B16))</f>
        <v>#N/A</v>
      </c>
    </row>
    <row r="17" spans="1:17" ht="15.6" x14ac:dyDescent="0.3">
      <c r="A17" s="148">
        <v>14</v>
      </c>
      <c r="B17" s="63" t="e">
        <v>#N/A</v>
      </c>
      <c r="C17" s="149"/>
      <c r="D17" s="136"/>
      <c r="E17" s="136" t="e">
        <f>(C17+D17)*(1/((1+'PGnE Calculations'!$J$8)^$B17))</f>
        <v>#N/A</v>
      </c>
      <c r="F17" s="150"/>
      <c r="G17" s="149"/>
      <c r="H17" s="136"/>
      <c r="I17" s="136" t="e">
        <f>(G17+H17)*(1/((1+'PGnE Calculations'!$J$8)^$B17))</f>
        <v>#N/A</v>
      </c>
      <c r="J17" s="150"/>
      <c r="K17" s="149"/>
      <c r="L17" s="136"/>
      <c r="M17" s="136" t="e">
        <f>(K17+L17)*(1/((1+'PGnE Calculations'!$J$8)^$B17))</f>
        <v>#N/A</v>
      </c>
      <c r="N17" s="150"/>
      <c r="O17" s="149"/>
      <c r="P17" s="136"/>
      <c r="Q17" s="150" t="e">
        <f>(O17+P17)*(1/((1+'PGnE Calculations'!$J$8)^$B17))</f>
        <v>#N/A</v>
      </c>
    </row>
    <row r="18" spans="1:17" ht="15.6" x14ac:dyDescent="0.3">
      <c r="A18" s="148">
        <v>15</v>
      </c>
      <c r="B18" s="63" t="e">
        <v>#N/A</v>
      </c>
      <c r="C18" s="149"/>
      <c r="D18" s="136"/>
      <c r="E18" s="136" t="e">
        <f>(C18+D18)*(1/((1+'PGnE Calculations'!$J$8)^$B18))</f>
        <v>#N/A</v>
      </c>
      <c r="F18" s="150"/>
      <c r="G18" s="149"/>
      <c r="H18" s="136"/>
      <c r="I18" s="136" t="e">
        <f>(G18+H18)*(1/((1+'PGnE Calculations'!$J$8)^$B18))</f>
        <v>#N/A</v>
      </c>
      <c r="J18" s="150"/>
      <c r="K18" s="149"/>
      <c r="L18" s="136"/>
      <c r="M18" s="136" t="e">
        <f>(K18+L18)*(1/((1+'PGnE Calculations'!$J$8)^$B18))</f>
        <v>#N/A</v>
      </c>
      <c r="N18" s="150"/>
      <c r="O18" s="149"/>
      <c r="P18" s="136"/>
      <c r="Q18" s="150" t="e">
        <f>(O18+P18)*(1/((1+'PGnE Calculations'!$J$8)^$B18))</f>
        <v>#N/A</v>
      </c>
    </row>
    <row r="19" spans="1:17" ht="15.6" x14ac:dyDescent="0.3">
      <c r="A19" s="148">
        <v>16</v>
      </c>
      <c r="B19" s="63" t="e">
        <v>#N/A</v>
      </c>
      <c r="C19" s="149"/>
      <c r="D19" s="136"/>
      <c r="E19" s="136" t="e">
        <f>(C19+D19)*(1/((1+'PGnE Calculations'!$J$8)^$B19))</f>
        <v>#N/A</v>
      </c>
      <c r="F19" s="150"/>
      <c r="G19" s="149"/>
      <c r="H19" s="136"/>
      <c r="I19" s="136" t="e">
        <f>(G19+H19)*(1/((1+'PGnE Calculations'!$J$8)^$B19))</f>
        <v>#N/A</v>
      </c>
      <c r="J19" s="150"/>
      <c r="K19" s="149"/>
      <c r="L19" s="136"/>
      <c r="M19" s="136" t="e">
        <f>(K19+L19)*(1/((1+'PGnE Calculations'!$J$8)^$B19))</f>
        <v>#N/A</v>
      </c>
      <c r="N19" s="150"/>
      <c r="O19" s="149"/>
      <c r="P19" s="136"/>
      <c r="Q19" s="150" t="e">
        <f>(O19+P19)*(1/((1+'PGnE Calculations'!$J$8)^$B19))</f>
        <v>#N/A</v>
      </c>
    </row>
    <row r="20" spans="1:17" ht="15.6" x14ac:dyDescent="0.3">
      <c r="A20" s="148">
        <v>17</v>
      </c>
      <c r="B20" s="63" t="e">
        <v>#N/A</v>
      </c>
      <c r="C20" s="149"/>
      <c r="D20" s="136"/>
      <c r="E20" s="136" t="e">
        <f>(C20+D20)*(1/((1+'PGnE Calculations'!$J$8)^$B20))</f>
        <v>#N/A</v>
      </c>
      <c r="F20" s="150"/>
      <c r="G20" s="149"/>
      <c r="H20" s="136"/>
      <c r="I20" s="136" t="e">
        <f>(G20+H20)*(1/((1+'PGnE Calculations'!$J$8)^$B20))</f>
        <v>#N/A</v>
      </c>
      <c r="J20" s="150"/>
      <c r="K20" s="149"/>
      <c r="L20" s="136"/>
      <c r="M20" s="136" t="e">
        <f>(K20+L20)*(1/((1+'PGnE Calculations'!$J$8)^$B20))</f>
        <v>#N/A</v>
      </c>
      <c r="N20" s="150"/>
      <c r="O20" s="149"/>
      <c r="P20" s="136"/>
      <c r="Q20" s="150" t="e">
        <f>(O20+P20)*(1/((1+'PGnE Calculations'!$J$8)^$B20))</f>
        <v>#N/A</v>
      </c>
    </row>
    <row r="21" spans="1:17" ht="15.6" x14ac:dyDescent="0.3">
      <c r="A21" s="148">
        <v>18</v>
      </c>
      <c r="B21" s="63" t="e">
        <v>#N/A</v>
      </c>
      <c r="C21" s="149"/>
      <c r="D21" s="136"/>
      <c r="E21" s="136" t="e">
        <f>(C21+D21)*(1/((1+'PGnE Calculations'!$J$8)^$B21))</f>
        <v>#N/A</v>
      </c>
      <c r="F21" s="150"/>
      <c r="G21" s="149"/>
      <c r="H21" s="136"/>
      <c r="I21" s="136" t="e">
        <f>(G21+H21)*(1/((1+'PGnE Calculations'!$J$8)^$B21))</f>
        <v>#N/A</v>
      </c>
      <c r="J21" s="150"/>
      <c r="K21" s="149"/>
      <c r="L21" s="136"/>
      <c r="M21" s="136" t="e">
        <f>(K21+L21)*(1/((1+'PGnE Calculations'!$J$8)^$B21))</f>
        <v>#N/A</v>
      </c>
      <c r="N21" s="150"/>
      <c r="O21" s="149"/>
      <c r="P21" s="136"/>
      <c r="Q21" s="150" t="e">
        <f>(O21+P21)*(1/((1+'PGnE Calculations'!$J$8)^$B21))</f>
        <v>#N/A</v>
      </c>
    </row>
    <row r="22" spans="1:17" ht="15.6" x14ac:dyDescent="0.3">
      <c r="A22" s="148">
        <v>19</v>
      </c>
      <c r="B22" s="63" t="e">
        <v>#N/A</v>
      </c>
      <c r="C22" s="149"/>
      <c r="D22" s="136"/>
      <c r="E22" s="136" t="e">
        <f>(C22+D22)*(1/((1+'PGnE Calculations'!$J$8)^$B22))</f>
        <v>#N/A</v>
      </c>
      <c r="F22" s="150"/>
      <c r="G22" s="149"/>
      <c r="H22" s="136"/>
      <c r="I22" s="136" t="e">
        <f>(G22+H22)*(1/((1+'PGnE Calculations'!$J$8)^$B22))</f>
        <v>#N/A</v>
      </c>
      <c r="J22" s="150"/>
      <c r="K22" s="149"/>
      <c r="L22" s="136"/>
      <c r="M22" s="136" t="e">
        <f>(K22+L22)*(1/((1+'PGnE Calculations'!$J$8)^$B22))</f>
        <v>#N/A</v>
      </c>
      <c r="N22" s="150"/>
      <c r="O22" s="149"/>
      <c r="P22" s="136"/>
      <c r="Q22" s="150" t="e">
        <f>(O22+P22)*(1/((1+'PGnE Calculations'!$J$8)^$B22))</f>
        <v>#N/A</v>
      </c>
    </row>
    <row r="23" spans="1:17" ht="15.6" x14ac:dyDescent="0.3">
      <c r="A23" s="148">
        <v>20</v>
      </c>
      <c r="B23" s="63" t="e">
        <v>#N/A</v>
      </c>
      <c r="C23" s="149"/>
      <c r="D23" s="136"/>
      <c r="E23" s="136" t="e">
        <f>(C23+D23)*(1/((1+'PGnE Calculations'!$J$8)^$B23))</f>
        <v>#N/A</v>
      </c>
      <c r="F23" s="150"/>
      <c r="G23" s="149"/>
      <c r="H23" s="136"/>
      <c r="I23" s="136" t="e">
        <f>(G23+H23)*(1/((1+'PGnE Calculations'!$J$8)^$B23))</f>
        <v>#N/A</v>
      </c>
      <c r="J23" s="150"/>
      <c r="K23" s="149"/>
      <c r="L23" s="136"/>
      <c r="M23" s="136" t="e">
        <f>(K23+L23)*(1/((1+'PGnE Calculations'!$J$8)^$B23))</f>
        <v>#N/A</v>
      </c>
      <c r="N23" s="150"/>
      <c r="O23" s="149"/>
      <c r="P23" s="136"/>
      <c r="Q23" s="150" t="e">
        <f>(O23+P23)*(1/((1+'PGnE Calculations'!$J$8)^$B23))</f>
        <v>#N/A</v>
      </c>
    </row>
    <row r="24" spans="1:17" ht="15.6" x14ac:dyDescent="0.3">
      <c r="A24" s="148">
        <v>21</v>
      </c>
      <c r="B24" s="63" t="e">
        <v>#N/A</v>
      </c>
      <c r="C24" s="149"/>
      <c r="D24" s="136"/>
      <c r="E24" s="136" t="e">
        <f>(C24+D24)*(1/((1+'PGnE Calculations'!$J$8)^$B24))</f>
        <v>#N/A</v>
      </c>
      <c r="F24" s="150"/>
      <c r="G24" s="149"/>
      <c r="H24" s="136"/>
      <c r="I24" s="136" t="e">
        <f>(G24+H24)*(1/((1+'PGnE Calculations'!$J$8)^$B24))</f>
        <v>#N/A</v>
      </c>
      <c r="J24" s="150"/>
      <c r="K24" s="149"/>
      <c r="L24" s="136"/>
      <c r="M24" s="136" t="e">
        <f>(K24+L24)*(1/((1+'PGnE Calculations'!$J$8)^$B24))</f>
        <v>#N/A</v>
      </c>
      <c r="N24" s="150"/>
      <c r="O24" s="149"/>
      <c r="P24" s="136"/>
      <c r="Q24" s="150" t="e">
        <f>(O24+P24)*(1/((1+'PGnE Calculations'!$J$8)^$B24))</f>
        <v>#N/A</v>
      </c>
    </row>
    <row r="25" spans="1:17" ht="15.6" x14ac:dyDescent="0.3">
      <c r="A25" s="148">
        <v>22</v>
      </c>
      <c r="B25" s="63" t="e">
        <v>#N/A</v>
      </c>
      <c r="C25" s="149"/>
      <c r="D25" s="136"/>
      <c r="E25" s="136" t="e">
        <f>(C25+D25)*(1/((1+'PGnE Calculations'!$J$8)^$B25))</f>
        <v>#N/A</v>
      </c>
      <c r="F25" s="150"/>
      <c r="G25" s="149"/>
      <c r="H25" s="136"/>
      <c r="I25" s="136" t="e">
        <f>(G25+H25)*(1/((1+'PGnE Calculations'!$J$8)^$B25))</f>
        <v>#N/A</v>
      </c>
      <c r="J25" s="150"/>
      <c r="K25" s="149"/>
      <c r="L25" s="136"/>
      <c r="M25" s="136" t="e">
        <f>(K25+L25)*(1/((1+'PGnE Calculations'!$J$8)^$B25))</f>
        <v>#N/A</v>
      </c>
      <c r="N25" s="150"/>
      <c r="O25" s="149"/>
      <c r="P25" s="136"/>
      <c r="Q25" s="150" t="e">
        <f>(O25+P25)*(1/((1+'PGnE Calculations'!$J$8)^$B25))</f>
        <v>#N/A</v>
      </c>
    </row>
    <row r="26" spans="1:17" ht="15.6" x14ac:dyDescent="0.3">
      <c r="A26" s="148">
        <v>23</v>
      </c>
      <c r="B26" s="63" t="e">
        <v>#N/A</v>
      </c>
      <c r="C26" s="149"/>
      <c r="D26" s="136"/>
      <c r="E26" s="136" t="e">
        <f>(C26+D26)*(1/((1+'PGnE Calculations'!$J$8)^$B26))</f>
        <v>#N/A</v>
      </c>
      <c r="F26" s="150"/>
      <c r="G26" s="149"/>
      <c r="H26" s="136"/>
      <c r="I26" s="136" t="e">
        <f>(G26+H26)*(1/((1+'PGnE Calculations'!$J$8)^$B26))</f>
        <v>#N/A</v>
      </c>
      <c r="J26" s="150"/>
      <c r="K26" s="149"/>
      <c r="L26" s="136"/>
      <c r="M26" s="136" t="e">
        <f>(K26+L26)*(1/((1+'PGnE Calculations'!$J$8)^$B26))</f>
        <v>#N/A</v>
      </c>
      <c r="N26" s="150"/>
      <c r="O26" s="149"/>
      <c r="P26" s="136"/>
      <c r="Q26" s="150" t="e">
        <f>(O26+P26)*(1/((1+'PGnE Calculations'!$J$8)^$B26))</f>
        <v>#N/A</v>
      </c>
    </row>
    <row r="27" spans="1:17" ht="15.6" x14ac:dyDescent="0.3">
      <c r="A27" s="148">
        <v>24</v>
      </c>
      <c r="B27" s="63" t="e">
        <v>#N/A</v>
      </c>
      <c r="C27" s="149"/>
      <c r="D27" s="136"/>
      <c r="E27" s="136" t="e">
        <f>(C27+D27)*(1/((1+'PGnE Calculations'!$J$8)^$B27))</f>
        <v>#N/A</v>
      </c>
      <c r="F27" s="150"/>
      <c r="G27" s="149"/>
      <c r="H27" s="136"/>
      <c r="I27" s="136" t="e">
        <f>(G27+H27)*(1/((1+'PGnE Calculations'!$J$8)^$B27))</f>
        <v>#N/A</v>
      </c>
      <c r="J27" s="150"/>
      <c r="K27" s="149"/>
      <c r="L27" s="136"/>
      <c r="M27" s="136" t="e">
        <f>(K27+L27)*(1/((1+'PGnE Calculations'!$J$8)^$B27))</f>
        <v>#N/A</v>
      </c>
      <c r="N27" s="150"/>
      <c r="O27" s="149"/>
      <c r="P27" s="136"/>
      <c r="Q27" s="150" t="e">
        <f>(O27+P27)*(1/((1+'PGnE Calculations'!$J$8)^$B27))</f>
        <v>#N/A</v>
      </c>
    </row>
    <row r="28" spans="1:17" ht="15.6" x14ac:dyDescent="0.3">
      <c r="A28" s="148">
        <v>25</v>
      </c>
      <c r="B28" s="63" t="e">
        <v>#N/A</v>
      </c>
      <c r="C28" s="149"/>
      <c r="D28" s="136"/>
      <c r="E28" s="136" t="e">
        <f>(C28+D28)*(1/((1+'PGnE Calculations'!$J$8)^$B28))</f>
        <v>#N/A</v>
      </c>
      <c r="F28" s="150"/>
      <c r="G28" s="149"/>
      <c r="H28" s="136"/>
      <c r="I28" s="136" t="e">
        <f>(G28+H28)*(1/((1+'PGnE Calculations'!$J$8)^$B28))</f>
        <v>#N/A</v>
      </c>
      <c r="J28" s="150"/>
      <c r="K28" s="149"/>
      <c r="L28" s="136"/>
      <c r="M28" s="136" t="e">
        <f>(K28+L28)*(1/((1+'PGnE Calculations'!$J$8)^$B28))</f>
        <v>#N/A</v>
      </c>
      <c r="N28" s="150"/>
      <c r="O28" s="149"/>
      <c r="P28" s="136"/>
      <c r="Q28" s="150" t="e">
        <f>(O28+P28)*(1/((1+'PGnE Calculations'!$J$8)^$B28))</f>
        <v>#N/A</v>
      </c>
    </row>
    <row r="29" spans="1:17" ht="15.6" x14ac:dyDescent="0.3">
      <c r="A29" s="148">
        <v>26</v>
      </c>
      <c r="B29" s="63" t="e">
        <v>#N/A</v>
      </c>
      <c r="C29" s="149"/>
      <c r="D29" s="136"/>
      <c r="E29" s="136" t="e">
        <f>(C29+D29)*(1/((1+'PGnE Calculations'!$J$8)^$B29))</f>
        <v>#N/A</v>
      </c>
      <c r="F29" s="150"/>
      <c r="G29" s="149"/>
      <c r="H29" s="136"/>
      <c r="I29" s="136" t="e">
        <f>(G29+H29)*(1/((1+'PGnE Calculations'!$J$8)^$B29))</f>
        <v>#N/A</v>
      </c>
      <c r="J29" s="150"/>
      <c r="K29" s="149"/>
      <c r="L29" s="136"/>
      <c r="M29" s="136" t="e">
        <f>(K29+L29)*(1/((1+'PGnE Calculations'!$J$8)^$B29))</f>
        <v>#N/A</v>
      </c>
      <c r="N29" s="150"/>
      <c r="O29" s="149"/>
      <c r="P29" s="136"/>
      <c r="Q29" s="150" t="e">
        <f>(O29+P29)*(1/((1+'PGnE Calculations'!$J$8)^$B29))</f>
        <v>#N/A</v>
      </c>
    </row>
    <row r="30" spans="1:17" ht="15.6" x14ac:dyDescent="0.3">
      <c r="A30" s="148">
        <v>27</v>
      </c>
      <c r="B30" s="63" t="e">
        <v>#N/A</v>
      </c>
      <c r="C30" s="149"/>
      <c r="D30" s="136"/>
      <c r="E30" s="136" t="e">
        <f>(C30+D30)*(1/((1+'PGnE Calculations'!$J$8)^$B30))</f>
        <v>#N/A</v>
      </c>
      <c r="F30" s="150"/>
      <c r="G30" s="149"/>
      <c r="H30" s="136"/>
      <c r="I30" s="136" t="e">
        <f>(G30+H30)*(1/((1+'PGnE Calculations'!$J$8)^$B30))</f>
        <v>#N/A</v>
      </c>
      <c r="J30" s="150"/>
      <c r="K30" s="149"/>
      <c r="L30" s="136"/>
      <c r="M30" s="136" t="e">
        <f>(K30+L30)*(1/((1+'PGnE Calculations'!$J$8)^$B30))</f>
        <v>#N/A</v>
      </c>
      <c r="N30" s="150"/>
      <c r="O30" s="149"/>
      <c r="P30" s="136"/>
      <c r="Q30" s="150" t="e">
        <f>(O30+P30)*(1/((1+'PGnE Calculations'!$J$8)^$B30))</f>
        <v>#N/A</v>
      </c>
    </row>
    <row r="31" spans="1:17" ht="15.6" x14ac:dyDescent="0.3">
      <c r="A31" s="148">
        <v>28</v>
      </c>
      <c r="B31" s="63" t="e">
        <v>#N/A</v>
      </c>
      <c r="C31" s="149"/>
      <c r="D31" s="136"/>
      <c r="E31" s="136" t="e">
        <f>(C31+D31)*(1/((1+'PGnE Calculations'!$J$8)^$B31))</f>
        <v>#N/A</v>
      </c>
      <c r="F31" s="150"/>
      <c r="G31" s="149"/>
      <c r="H31" s="136"/>
      <c r="I31" s="136" t="e">
        <f>(G31+H31)*(1/((1+'PGnE Calculations'!$J$8)^$B31))</f>
        <v>#N/A</v>
      </c>
      <c r="J31" s="150"/>
      <c r="K31" s="149"/>
      <c r="L31" s="136"/>
      <c r="M31" s="136" t="e">
        <f>(K31+L31)*(1/((1+'PGnE Calculations'!$J$8)^$B31))</f>
        <v>#N/A</v>
      </c>
      <c r="N31" s="150"/>
      <c r="O31" s="149"/>
      <c r="P31" s="136"/>
      <c r="Q31" s="150" t="e">
        <f>(O31+P31)*(1/((1+'PGnE Calculations'!$J$8)^$B31))</f>
        <v>#N/A</v>
      </c>
    </row>
    <row r="32" spans="1:17" ht="15.6" x14ac:dyDescent="0.3">
      <c r="A32" s="148">
        <v>29</v>
      </c>
      <c r="B32" s="63" t="e">
        <v>#N/A</v>
      </c>
      <c r="C32" s="149"/>
      <c r="D32" s="136"/>
      <c r="E32" s="136" t="e">
        <f>(C32+D32)*(1/((1+'PGnE Calculations'!$J$8)^$B32))</f>
        <v>#N/A</v>
      </c>
      <c r="F32" s="150"/>
      <c r="G32" s="149"/>
      <c r="H32" s="136"/>
      <c r="I32" s="136" t="e">
        <f>(G32+H32)*(1/((1+'PGnE Calculations'!$J$8)^$B32))</f>
        <v>#N/A</v>
      </c>
      <c r="J32" s="150"/>
      <c r="K32" s="149"/>
      <c r="L32" s="136"/>
      <c r="M32" s="136" t="e">
        <f>(K32+L32)*(1/((1+'PGnE Calculations'!$J$8)^$B32))</f>
        <v>#N/A</v>
      </c>
      <c r="N32" s="150"/>
      <c r="O32" s="149"/>
      <c r="P32" s="136"/>
      <c r="Q32" s="150" t="e">
        <f>(O32+P32)*(1/((1+'PGnE Calculations'!$J$8)^$B32))</f>
        <v>#N/A</v>
      </c>
    </row>
    <row r="33" spans="1:17" ht="15.6" x14ac:dyDescent="0.3">
      <c r="A33" s="148">
        <v>30</v>
      </c>
      <c r="B33" s="63" t="e">
        <v>#N/A</v>
      </c>
      <c r="C33" s="149"/>
      <c r="D33" s="136"/>
      <c r="E33" s="136" t="e">
        <f>(C33+D33)*(1/((1+'PGnE Calculations'!$J$8)^$B33))</f>
        <v>#N/A</v>
      </c>
      <c r="F33" s="150"/>
      <c r="G33" s="149"/>
      <c r="H33" s="136"/>
      <c r="I33" s="136" t="e">
        <f>(G33+H33)*(1/((1+'PGnE Calculations'!$J$8)^$B33))</f>
        <v>#N/A</v>
      </c>
      <c r="J33" s="150"/>
      <c r="K33" s="149"/>
      <c r="L33" s="136"/>
      <c r="M33" s="136" t="e">
        <f>(K33+L33)*(1/((1+'PGnE Calculations'!$J$8)^$B33))</f>
        <v>#N/A</v>
      </c>
      <c r="N33" s="150"/>
      <c r="O33" s="149"/>
      <c r="P33" s="136"/>
      <c r="Q33" s="150" t="e">
        <f>(O33+P33)*(1/((1+'PGnE Calculations'!$J$8)^$B33))</f>
        <v>#N/A</v>
      </c>
    </row>
    <row r="34" spans="1:17" ht="15.6" x14ac:dyDescent="0.3">
      <c r="A34" s="148">
        <v>31</v>
      </c>
      <c r="B34" s="63" t="e">
        <v>#N/A</v>
      </c>
      <c r="C34" s="149"/>
      <c r="D34" s="136"/>
      <c r="E34" s="136" t="e">
        <f>(C34+D34)*(1/((1+'PGnE Calculations'!$J$8)^$B34))</f>
        <v>#N/A</v>
      </c>
      <c r="F34" s="150"/>
      <c r="G34" s="149"/>
      <c r="H34" s="136"/>
      <c r="I34" s="136" t="e">
        <f>(G34+H34)*(1/((1+'PGnE Calculations'!$J$8)^$B34))</f>
        <v>#N/A</v>
      </c>
      <c r="J34" s="150"/>
      <c r="K34" s="149"/>
      <c r="L34" s="136"/>
      <c r="M34" s="136" t="e">
        <f>(K34+L34)*(1/((1+'PGnE Calculations'!$J$8)^$B34))</f>
        <v>#N/A</v>
      </c>
      <c r="N34" s="150"/>
      <c r="O34" s="149"/>
      <c r="P34" s="136"/>
      <c r="Q34" s="150" t="e">
        <f>(O34+P34)*(1/((1+'PGnE Calculations'!$J$8)^$B34))</f>
        <v>#N/A</v>
      </c>
    </row>
    <row r="35" spans="1:17" ht="15.6" x14ac:dyDescent="0.3">
      <c r="A35" s="148">
        <v>32</v>
      </c>
      <c r="B35" s="63" t="e">
        <v>#N/A</v>
      </c>
      <c r="C35" s="149"/>
      <c r="D35" s="136"/>
      <c r="E35" s="136" t="e">
        <f>(C35+D35)*(1/((1+'PGnE Calculations'!$J$8)^$B35))</f>
        <v>#N/A</v>
      </c>
      <c r="F35" s="150"/>
      <c r="G35" s="149"/>
      <c r="H35" s="136"/>
      <c r="I35" s="136" t="e">
        <f>(G35+H35)*(1/((1+'PGnE Calculations'!$J$8)^$B35))</f>
        <v>#N/A</v>
      </c>
      <c r="J35" s="150"/>
      <c r="K35" s="149"/>
      <c r="L35" s="136"/>
      <c r="M35" s="136" t="e">
        <f>(K35+L35)*(1/((1+'PGnE Calculations'!$J$8)^$B35))</f>
        <v>#N/A</v>
      </c>
      <c r="N35" s="150"/>
      <c r="O35" s="149"/>
      <c r="P35" s="136"/>
      <c r="Q35" s="150" t="e">
        <f>(O35+P35)*(1/((1+'PGnE Calculations'!$J$8)^$B35))</f>
        <v>#N/A</v>
      </c>
    </row>
    <row r="36" spans="1:17" ht="15.6" x14ac:dyDescent="0.3">
      <c r="A36" s="148">
        <v>33</v>
      </c>
      <c r="B36" s="63" t="e">
        <v>#N/A</v>
      </c>
      <c r="C36" s="149"/>
      <c r="D36" s="136"/>
      <c r="E36" s="136" t="e">
        <f>(C36+D36)*(1/((1+'PGnE Calculations'!$J$8)^$B36))</f>
        <v>#N/A</v>
      </c>
      <c r="F36" s="150"/>
      <c r="G36" s="149"/>
      <c r="H36" s="136"/>
      <c r="I36" s="136" t="e">
        <f>(G36+H36)*(1/((1+'PGnE Calculations'!$J$8)^$B36))</f>
        <v>#N/A</v>
      </c>
      <c r="J36" s="150"/>
      <c r="K36" s="149"/>
      <c r="L36" s="136"/>
      <c r="M36" s="136" t="e">
        <f>(K36+L36)*(1/((1+'PGnE Calculations'!$J$8)^$B36))</f>
        <v>#N/A</v>
      </c>
      <c r="N36" s="150"/>
      <c r="O36" s="149"/>
      <c r="P36" s="136"/>
      <c r="Q36" s="150" t="e">
        <f>(O36+P36)*(1/((1+'PGnE Calculations'!$J$8)^$B36))</f>
        <v>#N/A</v>
      </c>
    </row>
    <row r="37" spans="1:17" ht="15.6" x14ac:dyDescent="0.3">
      <c r="A37" s="148">
        <v>34</v>
      </c>
      <c r="B37" s="63" t="e">
        <v>#N/A</v>
      </c>
      <c r="C37" s="149"/>
      <c r="D37" s="136"/>
      <c r="E37" s="136" t="e">
        <f>(C37+D37)*(1/((1+'PGnE Calculations'!$J$8)^$B37))</f>
        <v>#N/A</v>
      </c>
      <c r="F37" s="150"/>
      <c r="G37" s="149"/>
      <c r="H37" s="136"/>
      <c r="I37" s="136" t="e">
        <f>(G37+H37)*(1/((1+'PGnE Calculations'!$J$8)^$B37))</f>
        <v>#N/A</v>
      </c>
      <c r="J37" s="150"/>
      <c r="K37" s="149"/>
      <c r="L37" s="136"/>
      <c r="M37" s="136" t="e">
        <f>(K37+L37)*(1/((1+'PGnE Calculations'!$J$8)^$B37))</f>
        <v>#N/A</v>
      </c>
      <c r="N37" s="150"/>
      <c r="O37" s="149"/>
      <c r="P37" s="136"/>
      <c r="Q37" s="150" t="e">
        <f>(O37+P37)*(1/((1+'PGnE Calculations'!$J$8)^$B37))</f>
        <v>#N/A</v>
      </c>
    </row>
    <row r="38" spans="1:17" ht="15.6" x14ac:dyDescent="0.3">
      <c r="A38" s="148">
        <v>35</v>
      </c>
      <c r="B38" s="63" t="e">
        <v>#N/A</v>
      </c>
      <c r="C38" s="149"/>
      <c r="D38" s="136"/>
      <c r="E38" s="136" t="e">
        <f>(C38+D38)*(1/((1+'PGnE Calculations'!$J$8)^$B38))</f>
        <v>#N/A</v>
      </c>
      <c r="F38" s="150"/>
      <c r="G38" s="149"/>
      <c r="H38" s="136"/>
      <c r="I38" s="136" t="e">
        <f>(G38+H38)*(1/((1+'PGnE Calculations'!$J$8)^$B38))</f>
        <v>#N/A</v>
      </c>
      <c r="J38" s="150"/>
      <c r="K38" s="149"/>
      <c r="L38" s="136"/>
      <c r="M38" s="136" t="e">
        <f>(K38+L38)*(1/((1+'PGnE Calculations'!$J$8)^$B38))</f>
        <v>#N/A</v>
      </c>
      <c r="N38" s="150"/>
      <c r="O38" s="149"/>
      <c r="P38" s="136"/>
      <c r="Q38" s="150" t="e">
        <f>(O38+P38)*(1/((1+'PGnE Calculations'!$J$8)^$B38))</f>
        <v>#N/A</v>
      </c>
    </row>
    <row r="39" spans="1:17" ht="15.6" x14ac:dyDescent="0.3">
      <c r="A39" s="148">
        <v>36</v>
      </c>
      <c r="B39" s="63" t="e">
        <v>#N/A</v>
      </c>
      <c r="C39" s="149"/>
      <c r="D39" s="136"/>
      <c r="E39" s="136" t="e">
        <f>(C39+D39)*(1/((1+'PGnE Calculations'!$J$8)^$B39))</f>
        <v>#N/A</v>
      </c>
      <c r="F39" s="150"/>
      <c r="G39" s="149"/>
      <c r="H39" s="136"/>
      <c r="I39" s="136" t="e">
        <f>(G39+H39)*(1/((1+'PGnE Calculations'!$J$8)^$B39))</f>
        <v>#N/A</v>
      </c>
      <c r="J39" s="150"/>
      <c r="K39" s="149"/>
      <c r="L39" s="136"/>
      <c r="M39" s="136" t="e">
        <f>(K39+L39)*(1/((1+'PGnE Calculations'!$J$8)^$B39))</f>
        <v>#N/A</v>
      </c>
      <c r="N39" s="150"/>
      <c r="O39" s="149"/>
      <c r="P39" s="136"/>
      <c r="Q39" s="150" t="e">
        <f>(O39+P39)*(1/((1+'PGnE Calculations'!$J$8)^$B39))</f>
        <v>#N/A</v>
      </c>
    </row>
    <row r="40" spans="1:17" ht="15.6" x14ac:dyDescent="0.3">
      <c r="A40" s="148">
        <v>37</v>
      </c>
      <c r="B40" s="63" t="e">
        <v>#N/A</v>
      </c>
      <c r="C40" s="149"/>
      <c r="D40" s="136"/>
      <c r="E40" s="136" t="e">
        <f>(C40+D40)*(1/((1+'PGnE Calculations'!$J$8)^$B40))</f>
        <v>#N/A</v>
      </c>
      <c r="F40" s="150"/>
      <c r="G40" s="149"/>
      <c r="H40" s="136"/>
      <c r="I40" s="136" t="e">
        <f>(G40+H40)*(1/((1+'PGnE Calculations'!$J$8)^$B40))</f>
        <v>#N/A</v>
      </c>
      <c r="J40" s="150"/>
      <c r="K40" s="149"/>
      <c r="L40" s="136"/>
      <c r="M40" s="136" t="e">
        <f>(K40+L40)*(1/((1+'PGnE Calculations'!$J$8)^$B40))</f>
        <v>#N/A</v>
      </c>
      <c r="N40" s="150"/>
      <c r="O40" s="149"/>
      <c r="P40" s="136"/>
      <c r="Q40" s="150" t="e">
        <f>(O40+P40)*(1/((1+'PGnE Calculations'!$J$8)^$B40))</f>
        <v>#N/A</v>
      </c>
    </row>
    <row r="41" spans="1:17" ht="15.6" x14ac:dyDescent="0.3">
      <c r="A41" s="148">
        <v>38</v>
      </c>
      <c r="B41" s="63" t="e">
        <v>#N/A</v>
      </c>
      <c r="C41" s="149"/>
      <c r="D41" s="136"/>
      <c r="E41" s="136" t="e">
        <f>(C41+D41)*(1/((1+'PGnE Calculations'!$J$8)^$B41))</f>
        <v>#N/A</v>
      </c>
      <c r="F41" s="150"/>
      <c r="G41" s="149"/>
      <c r="H41" s="136"/>
      <c r="I41" s="136" t="e">
        <f>(G41+H41)*(1/((1+'PGnE Calculations'!$J$8)^$B41))</f>
        <v>#N/A</v>
      </c>
      <c r="J41" s="150"/>
      <c r="K41" s="149"/>
      <c r="L41" s="136"/>
      <c r="M41" s="136" t="e">
        <f>(K41+L41)*(1/((1+'PGnE Calculations'!$J$8)^$B41))</f>
        <v>#N/A</v>
      </c>
      <c r="N41" s="150"/>
      <c r="O41" s="149"/>
      <c r="P41" s="136"/>
      <c r="Q41" s="150" t="e">
        <f>(O41+P41)*(1/((1+'PGnE Calculations'!$J$8)^$B41))</f>
        <v>#N/A</v>
      </c>
    </row>
    <row r="42" spans="1:17" ht="15.6" x14ac:dyDescent="0.3">
      <c r="A42" s="148">
        <v>39</v>
      </c>
      <c r="B42" s="63" t="e">
        <v>#N/A</v>
      </c>
      <c r="C42" s="149"/>
      <c r="D42" s="136"/>
      <c r="E42" s="136" t="e">
        <f>(C42+D42)*(1/((1+'PGnE Calculations'!$J$8)^$B42))</f>
        <v>#N/A</v>
      </c>
      <c r="F42" s="150"/>
      <c r="G42" s="149"/>
      <c r="H42" s="136"/>
      <c r="I42" s="136" t="e">
        <f>(G42+H42)*(1/((1+'PGnE Calculations'!$J$8)^$B42))</f>
        <v>#N/A</v>
      </c>
      <c r="J42" s="150"/>
      <c r="K42" s="149"/>
      <c r="L42" s="136"/>
      <c r="M42" s="136" t="e">
        <f>(K42+L42)*(1/((1+'PGnE Calculations'!$J$8)^$B42))</f>
        <v>#N/A</v>
      </c>
      <c r="N42" s="150"/>
      <c r="O42" s="149"/>
      <c r="P42" s="136"/>
      <c r="Q42" s="150" t="e">
        <f>(O42+P42)*(1/((1+'PGnE Calculations'!$J$8)^$B42))</f>
        <v>#N/A</v>
      </c>
    </row>
    <row r="43" spans="1:17" ht="15.6" x14ac:dyDescent="0.3">
      <c r="A43" s="148">
        <v>40</v>
      </c>
      <c r="B43" s="63" t="e">
        <v>#N/A</v>
      </c>
      <c r="C43" s="149"/>
      <c r="D43" s="136"/>
      <c r="E43" s="136" t="e">
        <f>(C43+D43)*(1/((1+'PGnE Calculations'!$J$8)^$B43))</f>
        <v>#N/A</v>
      </c>
      <c r="F43" s="150"/>
      <c r="G43" s="149"/>
      <c r="H43" s="136"/>
      <c r="I43" s="136" t="e">
        <f>(G43+H43)*(1/((1+'PGnE Calculations'!$J$8)^$B43))</f>
        <v>#N/A</v>
      </c>
      <c r="J43" s="150"/>
      <c r="K43" s="149"/>
      <c r="L43" s="136"/>
      <c r="M43" s="136" t="e">
        <f>(K43+L43)*(1/((1+'PGnE Calculations'!$J$8)^$B43))</f>
        <v>#N/A</v>
      </c>
      <c r="N43" s="150"/>
      <c r="O43" s="149"/>
      <c r="P43" s="136"/>
      <c r="Q43" s="150" t="e">
        <f>(O43+P43)*(1/((1+'PGnE Calculations'!$J$8)^$B43))</f>
        <v>#N/A</v>
      </c>
    </row>
    <row r="44" spans="1:17" ht="15.6" x14ac:dyDescent="0.3">
      <c r="A44" s="148">
        <v>41</v>
      </c>
      <c r="B44" s="63" t="e">
        <v>#N/A</v>
      </c>
      <c r="C44" s="149"/>
      <c r="D44" s="136"/>
      <c r="E44" s="136" t="e">
        <f>(C44+D44)*(1/((1+'PGnE Calculations'!$J$8)^$B44))</f>
        <v>#N/A</v>
      </c>
      <c r="F44" s="150"/>
      <c r="G44" s="149"/>
      <c r="H44" s="136"/>
      <c r="I44" s="136" t="e">
        <f>(G44+H44)*(1/((1+'PGnE Calculations'!$J$8)^$B44))</f>
        <v>#N/A</v>
      </c>
      <c r="J44" s="150"/>
      <c r="K44" s="149"/>
      <c r="L44" s="136"/>
      <c r="M44" s="136" t="e">
        <f>(K44+L44)*(1/((1+'PGnE Calculations'!$J$8)^$B44))</f>
        <v>#N/A</v>
      </c>
      <c r="N44" s="150"/>
      <c r="O44" s="149"/>
      <c r="P44" s="136"/>
      <c r="Q44" s="150" t="e">
        <f>(O44+P44)*(1/((1+'PGnE Calculations'!$J$8)^$B44))</f>
        <v>#N/A</v>
      </c>
    </row>
    <row r="45" spans="1:17" ht="15.6" x14ac:dyDescent="0.3">
      <c r="A45" s="148">
        <v>42</v>
      </c>
      <c r="B45" s="63" t="e">
        <v>#N/A</v>
      </c>
      <c r="C45" s="149"/>
      <c r="D45" s="136"/>
      <c r="E45" s="136" t="e">
        <f>(C45+D45)*(1/((1+'PGnE Calculations'!$J$8)^$B45))</f>
        <v>#N/A</v>
      </c>
      <c r="F45" s="150"/>
      <c r="G45" s="149"/>
      <c r="H45" s="136"/>
      <c r="I45" s="136" t="e">
        <f>(G45+H45)*(1/((1+'PGnE Calculations'!$J$8)^$B45))</f>
        <v>#N/A</v>
      </c>
      <c r="J45" s="150"/>
      <c r="K45" s="149"/>
      <c r="L45" s="136"/>
      <c r="M45" s="136" t="e">
        <f>(K45+L45)*(1/((1+'PGnE Calculations'!$J$8)^$B45))</f>
        <v>#N/A</v>
      </c>
      <c r="N45" s="150"/>
      <c r="O45" s="149"/>
      <c r="P45" s="136"/>
      <c r="Q45" s="150" t="e">
        <f>(O45+P45)*(1/((1+'PGnE Calculations'!$J$8)^$B45))</f>
        <v>#N/A</v>
      </c>
    </row>
    <row r="46" spans="1:17" ht="15.6" x14ac:dyDescent="0.3">
      <c r="A46" s="148">
        <v>43</v>
      </c>
      <c r="B46" s="63" t="e">
        <v>#N/A</v>
      </c>
      <c r="C46" s="149"/>
      <c r="D46" s="136"/>
      <c r="E46" s="136" t="e">
        <f>(C46+D46)*(1/((1+'PGnE Calculations'!$J$8)^$B46))</f>
        <v>#N/A</v>
      </c>
      <c r="F46" s="150"/>
      <c r="G46" s="149"/>
      <c r="H46" s="136"/>
      <c r="I46" s="136" t="e">
        <f>(G46+H46)*(1/((1+'PGnE Calculations'!$J$8)^$B46))</f>
        <v>#N/A</v>
      </c>
      <c r="J46" s="150"/>
      <c r="K46" s="149"/>
      <c r="L46" s="136"/>
      <c r="M46" s="136" t="e">
        <f>(K46+L46)*(1/((1+'PGnE Calculations'!$J$8)^$B46))</f>
        <v>#N/A</v>
      </c>
      <c r="N46" s="150"/>
      <c r="O46" s="149"/>
      <c r="P46" s="136"/>
      <c r="Q46" s="150" t="e">
        <f>(O46+P46)*(1/((1+'PGnE Calculations'!$J$8)^$B46))</f>
        <v>#N/A</v>
      </c>
    </row>
    <row r="47" spans="1:17" ht="15.6" x14ac:dyDescent="0.3">
      <c r="A47" s="148">
        <v>44</v>
      </c>
      <c r="B47" s="63" t="e">
        <v>#N/A</v>
      </c>
      <c r="C47" s="149"/>
      <c r="D47" s="136"/>
      <c r="E47" s="136" t="e">
        <f>(C47+D47)*(1/((1+'PGnE Calculations'!$J$8)^$B47))</f>
        <v>#N/A</v>
      </c>
      <c r="F47" s="150"/>
      <c r="G47" s="149"/>
      <c r="H47" s="136"/>
      <c r="I47" s="136" t="e">
        <f>(G47+H47)*(1/((1+'PGnE Calculations'!$J$8)^$B47))</f>
        <v>#N/A</v>
      </c>
      <c r="J47" s="150"/>
      <c r="K47" s="149"/>
      <c r="L47" s="136"/>
      <c r="M47" s="136" t="e">
        <f>(K47+L47)*(1/((1+'PGnE Calculations'!$J$8)^$B47))</f>
        <v>#N/A</v>
      </c>
      <c r="N47" s="150"/>
      <c r="O47" s="149"/>
      <c r="P47" s="136"/>
      <c r="Q47" s="150" t="e">
        <f>(O47+P47)*(1/((1+'PGnE Calculations'!$J$8)^$B47))</f>
        <v>#N/A</v>
      </c>
    </row>
    <row r="48" spans="1:17" ht="15.6" x14ac:dyDescent="0.3">
      <c r="A48" s="148">
        <v>45</v>
      </c>
      <c r="B48" s="63"/>
      <c r="C48" s="149"/>
      <c r="D48" s="136"/>
      <c r="E48" s="136">
        <f>(C48+D48)*(1/((1+'PGnE Calculations'!$J$8)^$B48))</f>
        <v>0</v>
      </c>
      <c r="F48" s="150"/>
      <c r="G48" s="149"/>
      <c r="H48" s="136"/>
      <c r="I48" s="136">
        <f>(G48+H48)*(1/((1+'PGnE Calculations'!$J$8)^$B48))</f>
        <v>0</v>
      </c>
      <c r="J48" s="150"/>
      <c r="K48" s="149"/>
      <c r="L48" s="136"/>
      <c r="M48" s="136">
        <f>(K48+L48)*(1/((1+'PGnE Calculations'!$J$8)^$B48))</f>
        <v>0</v>
      </c>
      <c r="N48" s="150"/>
      <c r="O48" s="149"/>
      <c r="P48" s="136"/>
      <c r="Q48" s="150">
        <f>(O48+P48)*(1/((1+'PGnE Calculations'!$J$8)^$B48))</f>
        <v>0</v>
      </c>
    </row>
    <row r="49" spans="1:17" ht="15.6" x14ac:dyDescent="0.3">
      <c r="A49" s="148">
        <v>46</v>
      </c>
      <c r="B49" s="63"/>
      <c r="C49" s="149"/>
      <c r="D49" s="136"/>
      <c r="E49" s="136">
        <f>(C49+D49)*(1/((1+'PGnE Calculations'!$J$8)^$B49))</f>
        <v>0</v>
      </c>
      <c r="F49" s="150"/>
      <c r="G49" s="149"/>
      <c r="H49" s="136"/>
      <c r="I49" s="136">
        <f>(G49+H49)*(1/((1+'PGnE Calculations'!$J$8)^$B49))</f>
        <v>0</v>
      </c>
      <c r="J49" s="150"/>
      <c r="K49" s="149"/>
      <c r="L49" s="136"/>
      <c r="M49" s="136">
        <f>(K49+L49)*(1/((1+'PGnE Calculations'!$J$8)^$B49))</f>
        <v>0</v>
      </c>
      <c r="N49" s="150"/>
      <c r="O49" s="149"/>
      <c r="P49" s="136"/>
      <c r="Q49" s="150">
        <f>(O49+P49)*(1/((1+'PGnE Calculations'!$J$8)^$B49))</f>
        <v>0</v>
      </c>
    </row>
    <row r="50" spans="1:17" ht="15.6" x14ac:dyDescent="0.3">
      <c r="A50" s="148">
        <v>47</v>
      </c>
      <c r="B50" s="63"/>
      <c r="C50" s="149"/>
      <c r="D50" s="136"/>
      <c r="E50" s="136">
        <f>(C50+D50)*(1/((1+'PGnE Calculations'!$J$8)^$B50))</f>
        <v>0</v>
      </c>
      <c r="F50" s="150"/>
      <c r="G50" s="149"/>
      <c r="H50" s="136"/>
      <c r="I50" s="136">
        <f>(G50+H50)*(1/((1+'PGnE Calculations'!$J$8)^$B50))</f>
        <v>0</v>
      </c>
      <c r="J50" s="150"/>
      <c r="K50" s="149"/>
      <c r="L50" s="136"/>
      <c r="M50" s="136">
        <f>(K50+L50)*(1/((1+'PGnE Calculations'!$J$8)^$B50))</f>
        <v>0</v>
      </c>
      <c r="N50" s="150"/>
      <c r="O50" s="149"/>
      <c r="P50" s="136"/>
      <c r="Q50" s="150">
        <f>(O50+P50)*(1/((1+'PGnE Calculations'!$J$8)^$B50))</f>
        <v>0</v>
      </c>
    </row>
    <row r="51" spans="1:17" ht="15.6" x14ac:dyDescent="0.3">
      <c r="A51" s="148">
        <v>48</v>
      </c>
      <c r="B51" s="63"/>
      <c r="C51" s="149"/>
      <c r="D51" s="136"/>
      <c r="E51" s="136">
        <f>(C51+D51)*(1/((1+'PGnE Calculations'!$J$8)^$B51))</f>
        <v>0</v>
      </c>
      <c r="F51" s="150"/>
      <c r="G51" s="149"/>
      <c r="H51" s="136"/>
      <c r="I51" s="136">
        <f>(G51+H51)*(1/((1+'PGnE Calculations'!$J$8)^$B51))</f>
        <v>0</v>
      </c>
      <c r="J51" s="150"/>
      <c r="K51" s="149"/>
      <c r="L51" s="136"/>
      <c r="M51" s="136">
        <f>(K51+L51)*(1/((1+'PGnE Calculations'!$J$8)^$B51))</f>
        <v>0</v>
      </c>
      <c r="N51" s="150"/>
      <c r="O51" s="149"/>
      <c r="P51" s="136"/>
      <c r="Q51" s="150">
        <f>(O51+P51)*(1/((1+'PGnE Calculations'!$J$8)^$B51))</f>
        <v>0</v>
      </c>
    </row>
    <row r="52" spans="1:17" ht="15.6" x14ac:dyDescent="0.3">
      <c r="A52" s="148">
        <v>49</v>
      </c>
      <c r="B52" s="63"/>
      <c r="C52" s="149"/>
      <c r="D52" s="136"/>
      <c r="E52" s="136">
        <f>(C52+D52)*(1/((1+'PGnE Calculations'!$J$8)^$B52))</f>
        <v>0</v>
      </c>
      <c r="F52" s="150"/>
      <c r="G52" s="149"/>
      <c r="H52" s="136"/>
      <c r="I52" s="136">
        <f>(G52+H52)*(1/((1+'PGnE Calculations'!$J$8)^$B52))</f>
        <v>0</v>
      </c>
      <c r="J52" s="150"/>
      <c r="K52" s="149"/>
      <c r="L52" s="136"/>
      <c r="M52" s="136">
        <f>(K52+L52)*(1/((1+'PGnE Calculations'!$J$8)^$B52))</f>
        <v>0</v>
      </c>
      <c r="N52" s="150"/>
      <c r="O52" s="149"/>
      <c r="P52" s="136"/>
      <c r="Q52" s="150">
        <f>(O52+P52)*(1/((1+'PGnE Calculations'!$J$8)^$B52))</f>
        <v>0</v>
      </c>
    </row>
    <row r="53" spans="1:17" ht="15.6" x14ac:dyDescent="0.3">
      <c r="A53" s="148">
        <v>50</v>
      </c>
      <c r="B53" s="63"/>
      <c r="C53" s="149"/>
      <c r="D53" s="136"/>
      <c r="E53" s="136">
        <f>(C53+D53)*(1/((1+'PGnE Calculations'!$J$8)^$B53))</f>
        <v>0</v>
      </c>
      <c r="F53" s="150"/>
      <c r="G53" s="149"/>
      <c r="H53" s="136"/>
      <c r="I53" s="136">
        <f>(G53+H53)*(1/((1+'PGnE Calculations'!$J$8)^$B53))</f>
        <v>0</v>
      </c>
      <c r="J53" s="150"/>
      <c r="K53" s="149"/>
      <c r="L53" s="136"/>
      <c r="M53" s="136">
        <f>(K53+L53)*(1/((1+'PGnE Calculations'!$J$8)^$B53))</f>
        <v>0</v>
      </c>
      <c r="N53" s="150"/>
      <c r="O53" s="149"/>
      <c r="P53" s="136"/>
      <c r="Q53" s="150">
        <f>(O53+P53)*(1/((1+'PGnE Calculations'!$J$8)^$B53))</f>
        <v>0</v>
      </c>
    </row>
    <row r="54" spans="1:17" ht="15.6" x14ac:dyDescent="0.3">
      <c r="A54" s="148">
        <v>51</v>
      </c>
      <c r="B54" s="63"/>
      <c r="C54" s="149"/>
      <c r="D54" s="136"/>
      <c r="E54" s="136">
        <f>(C54+D54)*(1/((1+'PGnE Calculations'!$J$8)^$B54))</f>
        <v>0</v>
      </c>
      <c r="F54" s="150"/>
      <c r="G54" s="149"/>
      <c r="H54" s="136"/>
      <c r="I54" s="136">
        <f>(G54+H54)*(1/((1+'PGnE Calculations'!$J$8)^$B54))</f>
        <v>0</v>
      </c>
      <c r="J54" s="150"/>
      <c r="K54" s="149"/>
      <c r="L54" s="136"/>
      <c r="M54" s="136">
        <f>(K54+L54)*(1/((1+'PGnE Calculations'!$J$8)^$B54))</f>
        <v>0</v>
      </c>
      <c r="N54" s="150"/>
      <c r="O54" s="149"/>
      <c r="P54" s="136"/>
      <c r="Q54" s="150">
        <f>(O54+P54)*(1/((1+'PGnE Calculations'!$J$8)^$B54))</f>
        <v>0</v>
      </c>
    </row>
    <row r="55" spans="1:17" ht="15.6" x14ac:dyDescent="0.3">
      <c r="A55" s="148">
        <v>52</v>
      </c>
      <c r="B55" s="63"/>
      <c r="C55" s="149"/>
      <c r="D55" s="136"/>
      <c r="E55" s="136">
        <f>(C55+D55)*(1/((1+'PGnE Calculations'!$J$8)^$B55))</f>
        <v>0</v>
      </c>
      <c r="F55" s="150"/>
      <c r="G55" s="149"/>
      <c r="H55" s="136"/>
      <c r="I55" s="136">
        <f>(G55+H55)*(1/((1+'PGnE Calculations'!$J$8)^$B55))</f>
        <v>0</v>
      </c>
      <c r="J55" s="150"/>
      <c r="K55" s="149"/>
      <c r="L55" s="136"/>
      <c r="M55" s="136">
        <f>(K55+L55)*(1/((1+'PGnE Calculations'!$J$8)^$B55))</f>
        <v>0</v>
      </c>
      <c r="N55" s="150"/>
      <c r="O55" s="149"/>
      <c r="P55" s="136"/>
      <c r="Q55" s="150">
        <f>(O55+P55)*(1/((1+'PGnE Calculations'!$J$8)^$B55))</f>
        <v>0</v>
      </c>
    </row>
    <row r="56" spans="1:17" ht="15.6" x14ac:dyDescent="0.3">
      <c r="A56" s="148">
        <v>53</v>
      </c>
      <c r="B56" s="63"/>
      <c r="C56" s="149"/>
      <c r="D56" s="136"/>
      <c r="E56" s="136">
        <f>(C56+D56)*(1/((1+'PGnE Calculations'!$J$8)^$B56))</f>
        <v>0</v>
      </c>
      <c r="F56" s="150"/>
      <c r="G56" s="149"/>
      <c r="H56" s="136"/>
      <c r="I56" s="136">
        <f>(G56+H56)*(1/((1+'PGnE Calculations'!$J$8)^$B56))</f>
        <v>0</v>
      </c>
      <c r="J56" s="150"/>
      <c r="K56" s="149"/>
      <c r="L56" s="136"/>
      <c r="M56" s="136">
        <f>(K56+L56)*(1/((1+'PGnE Calculations'!$J$8)^$B56))</f>
        <v>0</v>
      </c>
      <c r="N56" s="150"/>
      <c r="O56" s="149"/>
      <c r="P56" s="136"/>
      <c r="Q56" s="150">
        <f>(O56+P56)*(1/((1+'PGnE Calculations'!$J$8)^$B56))</f>
        <v>0</v>
      </c>
    </row>
    <row r="57" spans="1:17" ht="15.6" x14ac:dyDescent="0.3">
      <c r="A57" s="148">
        <v>54</v>
      </c>
      <c r="B57" s="63"/>
      <c r="C57" s="149"/>
      <c r="D57" s="136"/>
      <c r="E57" s="136">
        <f>(C57+D57)*(1/((1+'PGnE Calculations'!$J$8)^$B57))</f>
        <v>0</v>
      </c>
      <c r="F57" s="150"/>
      <c r="G57" s="149"/>
      <c r="H57" s="136"/>
      <c r="I57" s="136">
        <f>(G57+H57)*(1/((1+'PGnE Calculations'!$J$8)^$B57))</f>
        <v>0</v>
      </c>
      <c r="J57" s="150"/>
      <c r="K57" s="149"/>
      <c r="L57" s="136"/>
      <c r="M57" s="136">
        <f>(K57+L57)*(1/((1+'PGnE Calculations'!$J$8)^$B57))</f>
        <v>0</v>
      </c>
      <c r="N57" s="150"/>
      <c r="O57" s="149"/>
      <c r="P57" s="136"/>
      <c r="Q57" s="150">
        <f>(O57+P57)*(1/((1+'PGnE Calculations'!$J$8)^$B57))</f>
        <v>0</v>
      </c>
    </row>
    <row r="58" spans="1:17" ht="15.6" x14ac:dyDescent="0.3">
      <c r="A58" s="148">
        <v>55</v>
      </c>
      <c r="B58" s="63"/>
      <c r="C58" s="149"/>
      <c r="D58" s="136"/>
      <c r="E58" s="136">
        <f>(C58+D58)*(1/((1+'PGnE Calculations'!$J$8)^$B58))</f>
        <v>0</v>
      </c>
      <c r="F58" s="150"/>
      <c r="G58" s="149"/>
      <c r="H58" s="136"/>
      <c r="I58" s="136">
        <f>(G58+H58)*(1/((1+'PGnE Calculations'!$J$8)^$B58))</f>
        <v>0</v>
      </c>
      <c r="J58" s="150"/>
      <c r="K58" s="149"/>
      <c r="L58" s="136"/>
      <c r="M58" s="136">
        <f>(K58+L58)*(1/((1+'PGnE Calculations'!$J$8)^$B58))</f>
        <v>0</v>
      </c>
      <c r="N58" s="150"/>
      <c r="O58" s="149"/>
      <c r="P58" s="136"/>
      <c r="Q58" s="150">
        <f>(O58+P58)*(1/((1+'PGnE Calculations'!$J$8)^$B58))</f>
        <v>0</v>
      </c>
    </row>
    <row r="59" spans="1:17" ht="15.6" x14ac:dyDescent="0.3">
      <c r="A59" s="148">
        <v>56</v>
      </c>
      <c r="B59" s="63"/>
      <c r="C59" s="149"/>
      <c r="D59" s="136"/>
      <c r="E59" s="136">
        <f>(C59+D59)*(1/((1+'PGnE Calculations'!$J$8)^$B59))</f>
        <v>0</v>
      </c>
      <c r="F59" s="150"/>
      <c r="G59" s="149"/>
      <c r="H59" s="136"/>
      <c r="I59" s="136">
        <f>(G59+H59)*(1/((1+'PGnE Calculations'!$J$8)^$B59))</f>
        <v>0</v>
      </c>
      <c r="J59" s="150"/>
      <c r="K59" s="149"/>
      <c r="L59" s="136"/>
      <c r="M59" s="136">
        <f>(K59+L59)*(1/((1+'PGnE Calculations'!$J$8)^$B59))</f>
        <v>0</v>
      </c>
      <c r="N59" s="150"/>
      <c r="O59" s="149"/>
      <c r="P59" s="136"/>
      <c r="Q59" s="150">
        <f>(O59+P59)*(1/((1+'PGnE Calculations'!$J$8)^$B59))</f>
        <v>0</v>
      </c>
    </row>
    <row r="60" spans="1:17" ht="15.6" x14ac:dyDescent="0.3">
      <c r="A60" s="148">
        <v>57</v>
      </c>
      <c r="B60" s="63"/>
      <c r="C60" s="149"/>
      <c r="D60" s="136"/>
      <c r="E60" s="136">
        <f>(C60+D60)*(1/((1+'PGnE Calculations'!$J$8)^$B60))</f>
        <v>0</v>
      </c>
      <c r="F60" s="150"/>
      <c r="G60" s="149"/>
      <c r="H60" s="136"/>
      <c r="I60" s="136">
        <f>(G60+H60)*(1/((1+'PGnE Calculations'!$J$8)^$B60))</f>
        <v>0</v>
      </c>
      <c r="J60" s="150"/>
      <c r="K60" s="149"/>
      <c r="L60" s="136"/>
      <c r="M60" s="136">
        <f>(K60+L60)*(1/((1+'PGnE Calculations'!$J$8)^$B60))</f>
        <v>0</v>
      </c>
      <c r="N60" s="150"/>
      <c r="O60" s="149"/>
      <c r="P60" s="136"/>
      <c r="Q60" s="150">
        <f>(O60+P60)*(1/((1+'PGnE Calculations'!$J$8)^$B60))</f>
        <v>0</v>
      </c>
    </row>
    <row r="61" spans="1:17" ht="15.6" x14ac:dyDescent="0.3">
      <c r="A61" s="148">
        <v>58</v>
      </c>
      <c r="B61" s="63"/>
      <c r="C61" s="149"/>
      <c r="D61" s="136"/>
      <c r="E61" s="136">
        <f>(C61+D61)*(1/((1+'PGnE Calculations'!$J$8)^$B61))</f>
        <v>0</v>
      </c>
      <c r="F61" s="150"/>
      <c r="G61" s="149"/>
      <c r="H61" s="136"/>
      <c r="I61" s="136">
        <f>(G61+H61)*(1/((1+'PGnE Calculations'!$J$8)^$B61))</f>
        <v>0</v>
      </c>
      <c r="J61" s="150"/>
      <c r="K61" s="149"/>
      <c r="L61" s="136"/>
      <c r="M61" s="136">
        <f>(K61+L61)*(1/((1+'PGnE Calculations'!$J$8)^$B61))</f>
        <v>0</v>
      </c>
      <c r="N61" s="150"/>
      <c r="O61" s="149"/>
      <c r="P61" s="136"/>
      <c r="Q61" s="150">
        <f>(O61+P61)*(1/((1+'PGnE Calculations'!$J$8)^$B61))</f>
        <v>0</v>
      </c>
    </row>
    <row r="62" spans="1:17" ht="15.6" x14ac:dyDescent="0.3">
      <c r="A62" s="148">
        <v>59</v>
      </c>
      <c r="B62" s="63"/>
      <c r="C62" s="149"/>
      <c r="D62" s="136"/>
      <c r="E62" s="136">
        <f>(C62+D62)*(1/((1+'PGnE Calculations'!$J$8)^$B62))</f>
        <v>0</v>
      </c>
      <c r="F62" s="150"/>
      <c r="G62" s="149"/>
      <c r="H62" s="136"/>
      <c r="I62" s="136">
        <f>(G62+H62)*(1/((1+'PGnE Calculations'!$J$8)^$B62))</f>
        <v>0</v>
      </c>
      <c r="J62" s="150"/>
      <c r="K62" s="149"/>
      <c r="L62" s="136"/>
      <c r="M62" s="136">
        <f>(K62+L62)*(1/((1+'PGnE Calculations'!$J$8)^$B62))</f>
        <v>0</v>
      </c>
      <c r="N62" s="150"/>
      <c r="O62" s="149"/>
      <c r="P62" s="136"/>
      <c r="Q62" s="150">
        <f>(O62+P62)*(1/((1+'PGnE Calculations'!$J$8)^$B62))</f>
        <v>0</v>
      </c>
    </row>
    <row r="63" spans="1:17" ht="15.6" x14ac:dyDescent="0.3">
      <c r="A63" s="148">
        <v>60</v>
      </c>
      <c r="B63" s="63"/>
      <c r="C63" s="149"/>
      <c r="D63" s="136"/>
      <c r="E63" s="136">
        <f>(C63+D63)*(1/((1+'PGnE Calculations'!$J$8)^$B63))</f>
        <v>0</v>
      </c>
      <c r="F63" s="150"/>
      <c r="G63" s="149"/>
      <c r="H63" s="136"/>
      <c r="I63" s="136">
        <f>(G63+H63)*(1/((1+'PGnE Calculations'!$J$8)^$B63))</f>
        <v>0</v>
      </c>
      <c r="J63" s="150"/>
      <c r="K63" s="149"/>
      <c r="L63" s="136"/>
      <c r="M63" s="136">
        <f>(K63+L63)*(1/((1+'PGnE Calculations'!$J$8)^$B63))</f>
        <v>0</v>
      </c>
      <c r="N63" s="150"/>
      <c r="O63" s="149"/>
      <c r="P63" s="136"/>
      <c r="Q63" s="150">
        <f>(O63+P63)*(1/((1+'PGnE Calculations'!$J$8)^$B63))</f>
        <v>0</v>
      </c>
    </row>
    <row r="64" spans="1:17" ht="15.6" x14ac:dyDescent="0.3">
      <c r="A64" s="148">
        <v>61</v>
      </c>
      <c r="B64" s="63"/>
      <c r="C64" s="149"/>
      <c r="D64" s="136"/>
      <c r="E64" s="136">
        <f>(C64+D64)*(1/((1+'PGnE Calculations'!$J$8)^$B64))</f>
        <v>0</v>
      </c>
      <c r="F64" s="150"/>
      <c r="G64" s="149"/>
      <c r="H64" s="136"/>
      <c r="I64" s="136">
        <f>(G64+H64)*(1/((1+'PGnE Calculations'!$J$8)^$B64))</f>
        <v>0</v>
      </c>
      <c r="J64" s="150"/>
      <c r="K64" s="149"/>
      <c r="L64" s="136"/>
      <c r="M64" s="136">
        <f>(K64+L64)*(1/((1+'PGnE Calculations'!$J$8)^$B64))</f>
        <v>0</v>
      </c>
      <c r="N64" s="150"/>
      <c r="O64" s="149"/>
      <c r="P64" s="136"/>
      <c r="Q64" s="150">
        <f>(O64+P64)*(1/((1+'PGnE Calculations'!$J$8)^$B64))</f>
        <v>0</v>
      </c>
    </row>
    <row r="65" spans="1:17" ht="15.6" x14ac:dyDescent="0.3">
      <c r="A65" s="148">
        <v>62</v>
      </c>
      <c r="B65" s="63"/>
      <c r="C65" s="149"/>
      <c r="D65" s="136"/>
      <c r="E65" s="136">
        <f>(C65+D65)*(1/((1+'PGnE Calculations'!$J$8)^$B65))</f>
        <v>0</v>
      </c>
      <c r="F65" s="150"/>
      <c r="G65" s="149"/>
      <c r="H65" s="136"/>
      <c r="I65" s="136">
        <f>(G65+H65)*(1/((1+'PGnE Calculations'!$J$8)^$B65))</f>
        <v>0</v>
      </c>
      <c r="J65" s="150"/>
      <c r="K65" s="149"/>
      <c r="L65" s="136"/>
      <c r="M65" s="136">
        <f>(K65+L65)*(1/((1+'PGnE Calculations'!$J$8)^$B65))</f>
        <v>0</v>
      </c>
      <c r="N65" s="150"/>
      <c r="O65" s="149"/>
      <c r="P65" s="136"/>
      <c r="Q65" s="150">
        <f>(O65+P65)*(1/((1+'PGnE Calculations'!$J$8)^$B65))</f>
        <v>0</v>
      </c>
    </row>
    <row r="66" spans="1:17" ht="15.6" x14ac:dyDescent="0.3">
      <c r="A66" s="148">
        <v>63</v>
      </c>
      <c r="B66" s="63"/>
      <c r="C66" s="149"/>
      <c r="D66" s="136"/>
      <c r="E66" s="136">
        <f>(C66+D66)*(1/((1+'PGnE Calculations'!$J$8)^$B66))</f>
        <v>0</v>
      </c>
      <c r="F66" s="150"/>
      <c r="G66" s="149"/>
      <c r="H66" s="136"/>
      <c r="I66" s="136">
        <f>(G66+H66)*(1/((1+'PGnE Calculations'!$J$8)^$B66))</f>
        <v>0</v>
      </c>
      <c r="J66" s="150"/>
      <c r="K66" s="149"/>
      <c r="L66" s="136"/>
      <c r="M66" s="136">
        <f>(K66+L66)*(1/((1+'PGnE Calculations'!$J$8)^$B66))</f>
        <v>0</v>
      </c>
      <c r="N66" s="150"/>
      <c r="O66" s="149"/>
      <c r="P66" s="136"/>
      <c r="Q66" s="150">
        <f>(O66+P66)*(1/((1+'PGnE Calculations'!$J$8)^$B66))</f>
        <v>0</v>
      </c>
    </row>
    <row r="67" spans="1:17" ht="15.6" x14ac:dyDescent="0.3">
      <c r="A67" s="148">
        <v>64</v>
      </c>
      <c r="B67" s="63"/>
      <c r="C67" s="149"/>
      <c r="D67" s="136"/>
      <c r="E67" s="136">
        <f>(C67+D67)*(1/((1+'PGnE Calculations'!$J$8)^$B67))</f>
        <v>0</v>
      </c>
      <c r="F67" s="150"/>
      <c r="G67" s="149"/>
      <c r="H67" s="136"/>
      <c r="I67" s="136">
        <f>(G67+H67)*(1/((1+'PGnE Calculations'!$J$8)^$B67))</f>
        <v>0</v>
      </c>
      <c r="J67" s="150"/>
      <c r="K67" s="149"/>
      <c r="L67" s="136"/>
      <c r="M67" s="136">
        <f>(K67+L67)*(1/((1+'PGnE Calculations'!$J$8)^$B67))</f>
        <v>0</v>
      </c>
      <c r="N67" s="150"/>
      <c r="O67" s="149"/>
      <c r="P67" s="136"/>
      <c r="Q67" s="150">
        <f>(O67+P67)*(1/((1+'PGnE Calculations'!$J$8)^$B67))</f>
        <v>0</v>
      </c>
    </row>
    <row r="68" spans="1:17" ht="15.6" x14ac:dyDescent="0.3">
      <c r="A68" s="148">
        <v>65</v>
      </c>
      <c r="B68" s="63"/>
      <c r="C68" s="149"/>
      <c r="D68" s="136"/>
      <c r="E68" s="136">
        <f>(C68+D68)*(1/((1+'PGnE Calculations'!$J$8)^$B68))</f>
        <v>0</v>
      </c>
      <c r="F68" s="150"/>
      <c r="G68" s="149"/>
      <c r="H68" s="136"/>
      <c r="I68" s="136">
        <f>(G68+H68)*(1/((1+'PGnE Calculations'!$J$8)^$B68))</f>
        <v>0</v>
      </c>
      <c r="J68" s="150"/>
      <c r="K68" s="149"/>
      <c r="L68" s="136"/>
      <c r="M68" s="136">
        <f>(K68+L68)*(1/((1+'PGnE Calculations'!$J$8)^$B68))</f>
        <v>0</v>
      </c>
      <c r="N68" s="150"/>
      <c r="O68" s="149"/>
      <c r="P68" s="136"/>
      <c r="Q68" s="150">
        <f>(O68+P68)*(1/((1+'PGnE Calculations'!$J$8)^$B68))</f>
        <v>0</v>
      </c>
    </row>
    <row r="69" spans="1:17" ht="15.6" x14ac:dyDescent="0.3">
      <c r="A69" s="148">
        <v>66</v>
      </c>
      <c r="B69" s="63"/>
      <c r="C69" s="149"/>
      <c r="D69" s="136"/>
      <c r="E69" s="136">
        <f>(C69+D69)*(1/((1+'PGnE Calculations'!$J$8)^$B69))</f>
        <v>0</v>
      </c>
      <c r="F69" s="150"/>
      <c r="G69" s="149"/>
      <c r="H69" s="136"/>
      <c r="I69" s="136">
        <f>(G69+H69)*(1/((1+'PGnE Calculations'!$J$8)^$B69))</f>
        <v>0</v>
      </c>
      <c r="J69" s="150"/>
      <c r="K69" s="149"/>
      <c r="L69" s="136"/>
      <c r="M69" s="136">
        <f>(K69+L69)*(1/((1+'PGnE Calculations'!$J$8)^$B69))</f>
        <v>0</v>
      </c>
      <c r="N69" s="150"/>
      <c r="O69" s="149"/>
      <c r="P69" s="136"/>
      <c r="Q69" s="150">
        <f>(O69+P69)*(1/((1+'PGnE Calculations'!$J$8)^$B69))</f>
        <v>0</v>
      </c>
    </row>
    <row r="70" spans="1:17" ht="15.6" x14ac:dyDescent="0.3">
      <c r="A70" s="148">
        <v>67</v>
      </c>
      <c r="B70" s="63"/>
      <c r="C70" s="149"/>
      <c r="D70" s="136"/>
      <c r="E70" s="136">
        <f>(C70+D70)*(1/((1+'PGnE Calculations'!$J$8)^$B70))</f>
        <v>0</v>
      </c>
      <c r="F70" s="150"/>
      <c r="G70" s="149"/>
      <c r="H70" s="136"/>
      <c r="I70" s="136">
        <f>(G70+H70)*(1/((1+'PGnE Calculations'!$J$8)^$B70))</f>
        <v>0</v>
      </c>
      <c r="J70" s="150"/>
      <c r="K70" s="149"/>
      <c r="L70" s="136"/>
      <c r="M70" s="136">
        <f>(K70+L70)*(1/((1+'PGnE Calculations'!$J$8)^$B70))</f>
        <v>0</v>
      </c>
      <c r="N70" s="150"/>
      <c r="O70" s="149"/>
      <c r="P70" s="136"/>
      <c r="Q70" s="150">
        <f>(O70+P70)*(1/((1+'PGnE Calculations'!$J$8)^$B70))</f>
        <v>0</v>
      </c>
    </row>
    <row r="71" spans="1:17" ht="15.6" x14ac:dyDescent="0.3">
      <c r="A71" s="148">
        <v>68</v>
      </c>
      <c r="B71" s="63"/>
      <c r="C71" s="149"/>
      <c r="D71" s="136"/>
      <c r="E71" s="136">
        <f>(C71+D71)*(1/((1+'PGnE Calculations'!$J$8)^$B71))</f>
        <v>0</v>
      </c>
      <c r="F71" s="150"/>
      <c r="G71" s="149"/>
      <c r="H71" s="136"/>
      <c r="I71" s="136">
        <f>(G71+H71)*(1/((1+'PGnE Calculations'!$J$8)^$B71))</f>
        <v>0</v>
      </c>
      <c r="J71" s="150"/>
      <c r="K71" s="149"/>
      <c r="L71" s="136"/>
      <c r="M71" s="136">
        <f>(K71+L71)*(1/((1+'PGnE Calculations'!$J$8)^$B71))</f>
        <v>0</v>
      </c>
      <c r="N71" s="150"/>
      <c r="O71" s="149"/>
      <c r="P71" s="136"/>
      <c r="Q71" s="150">
        <f>(O71+P71)*(1/((1+'PGnE Calculations'!$J$8)^$B71))</f>
        <v>0</v>
      </c>
    </row>
    <row r="72" spans="1:17" ht="15.6" x14ac:dyDescent="0.3">
      <c r="A72" s="148">
        <v>69</v>
      </c>
      <c r="B72" s="63"/>
      <c r="C72" s="149"/>
      <c r="D72" s="136"/>
      <c r="E72" s="136">
        <f>(C72+D72)*(1/((1+'PGnE Calculations'!$J$8)^$B72))</f>
        <v>0</v>
      </c>
      <c r="F72" s="150"/>
      <c r="G72" s="149"/>
      <c r="H72" s="136"/>
      <c r="I72" s="136">
        <f>(G72+H72)*(1/((1+'PGnE Calculations'!$J$8)^$B72))</f>
        <v>0</v>
      </c>
      <c r="J72" s="150"/>
      <c r="K72" s="149"/>
      <c r="L72" s="136"/>
      <c r="M72" s="136">
        <f>(K72+L72)*(1/((1+'PGnE Calculations'!$J$8)^$B72))</f>
        <v>0</v>
      </c>
      <c r="N72" s="150"/>
      <c r="O72" s="149"/>
      <c r="P72" s="136"/>
      <c r="Q72" s="150">
        <f>(O72+P72)*(1/((1+'PGnE Calculations'!$J$8)^$B72))</f>
        <v>0</v>
      </c>
    </row>
    <row r="73" spans="1:17" ht="15.6" x14ac:dyDescent="0.3">
      <c r="A73" s="148">
        <v>70</v>
      </c>
      <c r="B73" s="63"/>
      <c r="C73" s="149"/>
      <c r="D73" s="136"/>
      <c r="E73" s="136">
        <f>(C73+D73)*(1/((1+'PGnE Calculations'!$J$8)^$B73))</f>
        <v>0</v>
      </c>
      <c r="F73" s="150"/>
      <c r="G73" s="149"/>
      <c r="H73" s="136"/>
      <c r="I73" s="136">
        <f>(G73+H73)*(1/((1+'PGnE Calculations'!$J$8)^$B73))</f>
        <v>0</v>
      </c>
      <c r="J73" s="150"/>
      <c r="K73" s="149"/>
      <c r="L73" s="136"/>
      <c r="M73" s="136">
        <f>(K73+L73)*(1/((1+'PGnE Calculations'!$J$8)^$B73))</f>
        <v>0</v>
      </c>
      <c r="N73" s="150"/>
      <c r="O73" s="149"/>
      <c r="P73" s="136"/>
      <c r="Q73" s="150">
        <f>(O73+P73)*(1/((1+'PGnE Calculations'!$J$8)^$B73))</f>
        <v>0</v>
      </c>
    </row>
    <row r="74" spans="1:17" ht="15.6" x14ac:dyDescent="0.3">
      <c r="A74" s="148">
        <v>71</v>
      </c>
      <c r="B74" s="63"/>
      <c r="C74" s="149"/>
      <c r="D74" s="136"/>
      <c r="E74" s="136">
        <f>(C74+D74)*(1/((1+'PGnE Calculations'!$J$8)^$B74))</f>
        <v>0</v>
      </c>
      <c r="F74" s="150"/>
      <c r="G74" s="149"/>
      <c r="H74" s="136"/>
      <c r="I74" s="136">
        <f>(G74+H74)*(1/((1+'PGnE Calculations'!$J$8)^$B74))</f>
        <v>0</v>
      </c>
      <c r="J74" s="150"/>
      <c r="K74" s="149"/>
      <c r="L74" s="136"/>
      <c r="M74" s="136">
        <f>(K74+L74)*(1/((1+'PGnE Calculations'!$J$8)^$B74))</f>
        <v>0</v>
      </c>
      <c r="N74" s="150"/>
      <c r="O74" s="149"/>
      <c r="P74" s="136"/>
      <c r="Q74" s="150">
        <f>(O74+P74)*(1/((1+'PGnE Calculations'!$J$8)^$B74))</f>
        <v>0</v>
      </c>
    </row>
    <row r="75" spans="1:17" ht="15.6" x14ac:dyDescent="0.3">
      <c r="A75" s="148">
        <v>72</v>
      </c>
      <c r="B75" s="63"/>
      <c r="C75" s="149"/>
      <c r="D75" s="136"/>
      <c r="E75" s="136">
        <f>(C75+D75)*(1/((1+'PGnE Calculations'!$J$8)^$B75))</f>
        <v>0</v>
      </c>
      <c r="F75" s="150"/>
      <c r="G75" s="149"/>
      <c r="H75" s="136"/>
      <c r="I75" s="136">
        <f>(G75+H75)*(1/((1+'PGnE Calculations'!$J$8)^$B75))</f>
        <v>0</v>
      </c>
      <c r="J75" s="150"/>
      <c r="K75" s="149"/>
      <c r="L75" s="136"/>
      <c r="M75" s="136">
        <f>(K75+L75)*(1/((1+'PGnE Calculations'!$J$8)^$B75))</f>
        <v>0</v>
      </c>
      <c r="N75" s="150"/>
      <c r="O75" s="149"/>
      <c r="P75" s="136"/>
      <c r="Q75" s="150">
        <f>(O75+P75)*(1/((1+'PGnE Calculations'!$J$8)^$B75))</f>
        <v>0</v>
      </c>
    </row>
    <row r="76" spans="1:17" ht="15.6" x14ac:dyDescent="0.3">
      <c r="A76" s="148">
        <v>73</v>
      </c>
      <c r="B76" s="63"/>
      <c r="C76" s="149"/>
      <c r="D76" s="136"/>
      <c r="E76" s="136">
        <f>(C76+D76)*(1/((1+'PGnE Calculations'!$J$8)^$B76))</f>
        <v>0</v>
      </c>
      <c r="F76" s="150"/>
      <c r="G76" s="149"/>
      <c r="H76" s="136"/>
      <c r="I76" s="136">
        <f>(G76+H76)*(1/((1+'PGnE Calculations'!$J$8)^$B76))</f>
        <v>0</v>
      </c>
      <c r="J76" s="150"/>
      <c r="K76" s="149"/>
      <c r="L76" s="136"/>
      <c r="M76" s="136">
        <f>(K76+L76)*(1/((1+'PGnE Calculations'!$J$8)^$B76))</f>
        <v>0</v>
      </c>
      <c r="N76" s="150"/>
      <c r="O76" s="149"/>
      <c r="P76" s="136"/>
      <c r="Q76" s="150">
        <f>(O76+P76)*(1/((1+'PGnE Calculations'!$J$8)^$B76))</f>
        <v>0</v>
      </c>
    </row>
    <row r="77" spans="1:17" ht="15.6" x14ac:dyDescent="0.3">
      <c r="A77" s="148">
        <v>74</v>
      </c>
      <c r="B77" s="63"/>
      <c r="C77" s="149"/>
      <c r="D77" s="136"/>
      <c r="E77" s="136">
        <f>(C77+D77)*(1/((1+'PGnE Calculations'!$J$8)^$B77))</f>
        <v>0</v>
      </c>
      <c r="F77" s="150"/>
      <c r="G77" s="149"/>
      <c r="H77" s="136"/>
      <c r="I77" s="136">
        <f>(G77+H77)*(1/((1+'PGnE Calculations'!$J$8)^$B77))</f>
        <v>0</v>
      </c>
      <c r="J77" s="150"/>
      <c r="K77" s="149"/>
      <c r="L77" s="136"/>
      <c r="M77" s="136">
        <f>(K77+L77)*(1/((1+'PGnE Calculations'!$J$8)^$B77))</f>
        <v>0</v>
      </c>
      <c r="N77" s="150"/>
      <c r="O77" s="149"/>
      <c r="P77" s="136"/>
      <c r="Q77" s="150">
        <f>(O77+P77)*(1/((1+'PGnE Calculations'!$J$8)^$B77))</f>
        <v>0</v>
      </c>
    </row>
    <row r="78" spans="1:17" ht="15.6" x14ac:dyDescent="0.3">
      <c r="A78" s="148">
        <v>75</v>
      </c>
      <c r="B78" s="63"/>
      <c r="C78" s="149"/>
      <c r="D78" s="136"/>
      <c r="E78" s="136">
        <f>(C78+D78)*(1/((1+'PGnE Calculations'!$J$8)^$B78))</f>
        <v>0</v>
      </c>
      <c r="F78" s="150"/>
      <c r="G78" s="149"/>
      <c r="H78" s="136"/>
      <c r="I78" s="136">
        <f>(G78+H78)*(1/((1+'PGnE Calculations'!$J$8)^$B78))</f>
        <v>0</v>
      </c>
      <c r="J78" s="150"/>
      <c r="K78" s="149"/>
      <c r="L78" s="136"/>
      <c r="M78" s="136">
        <f>(K78+L78)*(1/((1+'PGnE Calculations'!$J$8)^$B78))</f>
        <v>0</v>
      </c>
      <c r="N78" s="150"/>
      <c r="O78" s="149"/>
      <c r="P78" s="136"/>
      <c r="Q78" s="150">
        <f>(O78+P78)*(1/((1+'PGnE Calculations'!$J$8)^$B78))</f>
        <v>0</v>
      </c>
    </row>
    <row r="79" spans="1:17" ht="15.6" x14ac:dyDescent="0.3">
      <c r="A79" s="148">
        <v>76</v>
      </c>
      <c r="B79" s="63"/>
      <c r="C79" s="149"/>
      <c r="D79" s="136"/>
      <c r="E79" s="136">
        <f>(C79+D79)*(1/((1+'PGnE Calculations'!$J$8)^$B79))</f>
        <v>0</v>
      </c>
      <c r="F79" s="150"/>
      <c r="G79" s="149"/>
      <c r="H79" s="136"/>
      <c r="I79" s="136">
        <f>(G79+H79)*(1/((1+'PGnE Calculations'!$J$8)^$B79))</f>
        <v>0</v>
      </c>
      <c r="J79" s="150"/>
      <c r="K79" s="149"/>
      <c r="L79" s="136"/>
      <c r="M79" s="136">
        <f>(K79+L79)*(1/((1+'PGnE Calculations'!$J$8)^$B79))</f>
        <v>0</v>
      </c>
      <c r="N79" s="150"/>
      <c r="O79" s="149"/>
      <c r="P79" s="136"/>
      <c r="Q79" s="150">
        <f>(O79+P79)*(1/((1+'PGnE Calculations'!$J$8)^$B79))</f>
        <v>0</v>
      </c>
    </row>
    <row r="80" spans="1:17" ht="15.6" x14ac:dyDescent="0.3">
      <c r="A80" s="148">
        <v>77</v>
      </c>
      <c r="B80" s="63"/>
      <c r="C80" s="149"/>
      <c r="D80" s="136"/>
      <c r="E80" s="136">
        <f>(C80+D80)*(1/((1+'PGnE Calculations'!$J$8)^$B80))</f>
        <v>0</v>
      </c>
      <c r="F80" s="150"/>
      <c r="G80" s="149"/>
      <c r="H80" s="136"/>
      <c r="I80" s="136">
        <f>(G80+H80)*(1/((1+'PGnE Calculations'!$J$8)^$B80))</f>
        <v>0</v>
      </c>
      <c r="J80" s="150"/>
      <c r="K80" s="149"/>
      <c r="L80" s="136"/>
      <c r="M80" s="136">
        <f>(K80+L80)*(1/((1+'PGnE Calculations'!$J$8)^$B80))</f>
        <v>0</v>
      </c>
      <c r="N80" s="150"/>
      <c r="O80" s="149"/>
      <c r="P80" s="136"/>
      <c r="Q80" s="150">
        <f>(O80+P80)*(1/((1+'PGnE Calculations'!$J$8)^$B80))</f>
        <v>0</v>
      </c>
    </row>
    <row r="81" spans="1:17" ht="15.6" x14ac:dyDescent="0.3">
      <c r="A81" s="148">
        <v>78</v>
      </c>
      <c r="B81" s="63"/>
      <c r="C81" s="149"/>
      <c r="D81" s="136"/>
      <c r="E81" s="136">
        <f>(C81+D81)*(1/((1+'PGnE Calculations'!$J$8)^$B81))</f>
        <v>0</v>
      </c>
      <c r="F81" s="150"/>
      <c r="G81" s="149"/>
      <c r="H81" s="136"/>
      <c r="I81" s="136">
        <f>(G81+H81)*(1/((1+'PGnE Calculations'!$J$8)^$B81))</f>
        <v>0</v>
      </c>
      <c r="J81" s="150"/>
      <c r="K81" s="149"/>
      <c r="L81" s="136"/>
      <c r="M81" s="136">
        <f>(K81+L81)*(1/((1+'PGnE Calculations'!$J$8)^$B81))</f>
        <v>0</v>
      </c>
      <c r="N81" s="150"/>
      <c r="O81" s="149"/>
      <c r="P81" s="136"/>
      <c r="Q81" s="150">
        <f>(O81+P81)*(1/((1+'PGnE Calculations'!$J$8)^$B81))</f>
        <v>0</v>
      </c>
    </row>
    <row r="82" spans="1:17" ht="15.6" x14ac:dyDescent="0.3">
      <c r="A82" s="148">
        <v>79</v>
      </c>
      <c r="B82" s="63"/>
      <c r="C82" s="149"/>
      <c r="D82" s="136"/>
      <c r="E82" s="136">
        <f>(C82+D82)*(1/((1+'PGnE Calculations'!$J$8)^$B82))</f>
        <v>0</v>
      </c>
      <c r="F82" s="150"/>
      <c r="G82" s="149"/>
      <c r="H82" s="136"/>
      <c r="I82" s="136">
        <f>(G82+H82)*(1/((1+'PGnE Calculations'!$J$8)^$B82))</f>
        <v>0</v>
      </c>
      <c r="J82" s="150"/>
      <c r="K82" s="149"/>
      <c r="L82" s="136"/>
      <c r="M82" s="136">
        <f>(K82+L82)*(1/((1+'PGnE Calculations'!$J$8)^$B82))</f>
        <v>0</v>
      </c>
      <c r="N82" s="150"/>
      <c r="O82" s="149"/>
      <c r="P82" s="136"/>
      <c r="Q82" s="150">
        <f>(O82+P82)*(1/((1+'PGnE Calculations'!$J$8)^$B82))</f>
        <v>0</v>
      </c>
    </row>
    <row r="83" spans="1:17" ht="15.6" x14ac:dyDescent="0.3">
      <c r="A83" s="148">
        <v>80</v>
      </c>
      <c r="B83" s="63"/>
      <c r="C83" s="149"/>
      <c r="D83" s="136"/>
      <c r="E83" s="136">
        <f>(C83+D83)*(1/((1+'PGnE Calculations'!$J$8)^$B83))</f>
        <v>0</v>
      </c>
      <c r="F83" s="150"/>
      <c r="G83" s="149"/>
      <c r="H83" s="136"/>
      <c r="I83" s="136">
        <f>(G83+H83)*(1/((1+'PGnE Calculations'!$J$8)^$B83))</f>
        <v>0</v>
      </c>
      <c r="J83" s="150"/>
      <c r="K83" s="149"/>
      <c r="L83" s="136"/>
      <c r="M83" s="136">
        <f>(K83+L83)*(1/((1+'PGnE Calculations'!$J$8)^$B83))</f>
        <v>0</v>
      </c>
      <c r="N83" s="150"/>
      <c r="O83" s="149"/>
      <c r="P83" s="136"/>
      <c r="Q83" s="150">
        <f>(O83+P83)*(1/((1+'PGnE Calculations'!$J$8)^$B83))</f>
        <v>0</v>
      </c>
    </row>
    <row r="84" spans="1:17" ht="15.6" x14ac:dyDescent="0.3">
      <c r="A84" s="148">
        <v>81</v>
      </c>
      <c r="B84" s="63"/>
      <c r="C84" s="149"/>
      <c r="D84" s="136"/>
      <c r="E84" s="136">
        <f>(C84+D84)*(1/((1+'PGnE Calculations'!$J$8)^$B84))</f>
        <v>0</v>
      </c>
      <c r="F84" s="150"/>
      <c r="G84" s="149"/>
      <c r="H84" s="136"/>
      <c r="I84" s="136">
        <f>(G84+H84)*(1/((1+'PGnE Calculations'!$J$8)^$B84))</f>
        <v>0</v>
      </c>
      <c r="J84" s="150"/>
      <c r="K84" s="149"/>
      <c r="L84" s="136"/>
      <c r="M84" s="136">
        <f>(K84+L84)*(1/((1+'PGnE Calculations'!$J$8)^$B84))</f>
        <v>0</v>
      </c>
      <c r="N84" s="150"/>
      <c r="O84" s="149"/>
      <c r="P84" s="136"/>
      <c r="Q84" s="150">
        <f>(O84+P84)*(1/((1+'PGnE Calculations'!$J$8)^$B84))</f>
        <v>0</v>
      </c>
    </row>
    <row r="85" spans="1:17" ht="15.6" x14ac:dyDescent="0.3">
      <c r="A85" s="148">
        <v>82</v>
      </c>
      <c r="B85" s="63"/>
      <c r="C85" s="149"/>
      <c r="D85" s="136"/>
      <c r="E85" s="136">
        <f>(C85+D85)*(1/((1+'PGnE Calculations'!$J$8)^$B85))</f>
        <v>0</v>
      </c>
      <c r="F85" s="150"/>
      <c r="G85" s="149"/>
      <c r="H85" s="136"/>
      <c r="I85" s="136">
        <f>(G85+H85)*(1/((1+'PGnE Calculations'!$J$8)^$B85))</f>
        <v>0</v>
      </c>
      <c r="J85" s="150"/>
      <c r="K85" s="149"/>
      <c r="L85" s="136"/>
      <c r="M85" s="136">
        <f>(K85+L85)*(1/((1+'PGnE Calculations'!$J$8)^$B85))</f>
        <v>0</v>
      </c>
      <c r="N85" s="150"/>
      <c r="O85" s="149"/>
      <c r="P85" s="136"/>
      <c r="Q85" s="150">
        <f>(O85+P85)*(1/((1+'PGnE Calculations'!$J$8)^$B85))</f>
        <v>0</v>
      </c>
    </row>
    <row r="86" spans="1:17" ht="15.6" x14ac:dyDescent="0.3">
      <c r="A86" s="148">
        <v>83</v>
      </c>
      <c r="B86" s="63"/>
      <c r="C86" s="149"/>
      <c r="D86" s="136"/>
      <c r="E86" s="136">
        <f>(C86+D86)*(1/((1+'PGnE Calculations'!$J$8)^$B86))</f>
        <v>0</v>
      </c>
      <c r="F86" s="150"/>
      <c r="G86" s="149"/>
      <c r="H86" s="136"/>
      <c r="I86" s="136">
        <f>(G86+H86)*(1/((1+'PGnE Calculations'!$J$8)^$B86))</f>
        <v>0</v>
      </c>
      <c r="J86" s="150"/>
      <c r="K86" s="149"/>
      <c r="L86" s="136"/>
      <c r="M86" s="136">
        <f>(K86+L86)*(1/((1+'PGnE Calculations'!$J$8)^$B86))</f>
        <v>0</v>
      </c>
      <c r="N86" s="150"/>
      <c r="O86" s="149"/>
      <c r="P86" s="136"/>
      <c r="Q86" s="150">
        <f>(O86+P86)*(1/((1+'PGnE Calculations'!$J$8)^$B86))</f>
        <v>0</v>
      </c>
    </row>
    <row r="87" spans="1:17" ht="15.6" x14ac:dyDescent="0.3">
      <c r="A87" s="148">
        <v>84</v>
      </c>
      <c r="B87" s="63"/>
      <c r="C87" s="149"/>
      <c r="D87" s="136"/>
      <c r="E87" s="136">
        <f>(C87+D87)*(1/((1+'PGnE Calculations'!$J$8)^$B87))</f>
        <v>0</v>
      </c>
      <c r="F87" s="150"/>
      <c r="G87" s="149"/>
      <c r="H87" s="136"/>
      <c r="I87" s="136">
        <f>(G87+H87)*(1/((1+'PGnE Calculations'!$J$8)^$B87))</f>
        <v>0</v>
      </c>
      <c r="J87" s="150"/>
      <c r="K87" s="149"/>
      <c r="L87" s="136"/>
      <c r="M87" s="136">
        <f>(K87+L87)*(1/((1+'PGnE Calculations'!$J$8)^$B87))</f>
        <v>0</v>
      </c>
      <c r="N87" s="150"/>
      <c r="O87" s="149"/>
      <c r="P87" s="136"/>
      <c r="Q87" s="150">
        <f>(O87+P87)*(1/((1+'PGnE Calculations'!$J$8)^$B87))</f>
        <v>0</v>
      </c>
    </row>
    <row r="88" spans="1:17" ht="15.6" x14ac:dyDescent="0.3">
      <c r="A88" s="148">
        <v>85</v>
      </c>
      <c r="B88" s="63"/>
      <c r="C88" s="149"/>
      <c r="D88" s="136"/>
      <c r="E88" s="136">
        <f>(C88+D88)*(1/((1+'PGnE Calculations'!$J$8)^$B88))</f>
        <v>0</v>
      </c>
      <c r="F88" s="150"/>
      <c r="G88" s="149"/>
      <c r="H88" s="136"/>
      <c r="I88" s="136">
        <f>(G88+H88)*(1/((1+'PGnE Calculations'!$J$8)^$B88))</f>
        <v>0</v>
      </c>
      <c r="J88" s="150"/>
      <c r="K88" s="149"/>
      <c r="L88" s="136"/>
      <c r="M88" s="136">
        <f>(K88+L88)*(1/((1+'PGnE Calculations'!$J$8)^$B88))</f>
        <v>0</v>
      </c>
      <c r="N88" s="150"/>
      <c r="O88" s="149"/>
      <c r="P88" s="136"/>
      <c r="Q88" s="150">
        <f>(O88+P88)*(1/((1+'PGnE Calculations'!$J$8)^$B88))</f>
        <v>0</v>
      </c>
    </row>
    <row r="89" spans="1:17" ht="15.6" x14ac:dyDescent="0.3">
      <c r="A89" s="148">
        <v>86</v>
      </c>
      <c r="B89" s="63"/>
      <c r="C89" s="149"/>
      <c r="D89" s="136"/>
      <c r="E89" s="136">
        <f>(C89+D89)*(1/((1+'PGnE Calculations'!$J$8)^$B89))</f>
        <v>0</v>
      </c>
      <c r="F89" s="150"/>
      <c r="G89" s="149"/>
      <c r="H89" s="136"/>
      <c r="I89" s="136">
        <f>(G89+H89)*(1/((1+'PGnE Calculations'!$J$8)^$B89))</f>
        <v>0</v>
      </c>
      <c r="J89" s="150"/>
      <c r="K89" s="149"/>
      <c r="L89" s="136"/>
      <c r="M89" s="136">
        <f>(K89+L89)*(1/((1+'PGnE Calculations'!$J$8)^$B89))</f>
        <v>0</v>
      </c>
      <c r="N89" s="150"/>
      <c r="O89" s="149"/>
      <c r="P89" s="136"/>
      <c r="Q89" s="150">
        <f>(O89+P89)*(1/((1+'PGnE Calculations'!$J$8)^$B89))</f>
        <v>0</v>
      </c>
    </row>
    <row r="90" spans="1:17" ht="15.6" x14ac:dyDescent="0.3">
      <c r="A90" s="148">
        <v>87</v>
      </c>
      <c r="B90" s="63"/>
      <c r="C90" s="149"/>
      <c r="D90" s="136"/>
      <c r="E90" s="136">
        <f>(C90+D90)*(1/((1+'PGnE Calculations'!$J$8)^$B90))</f>
        <v>0</v>
      </c>
      <c r="F90" s="150"/>
      <c r="G90" s="149"/>
      <c r="H90" s="136"/>
      <c r="I90" s="136">
        <f>(G90+H90)*(1/((1+'PGnE Calculations'!$J$8)^$B90))</f>
        <v>0</v>
      </c>
      <c r="J90" s="150"/>
      <c r="K90" s="149"/>
      <c r="L90" s="136"/>
      <c r="M90" s="136">
        <f>(K90+L90)*(1/((1+'PGnE Calculations'!$J$8)^$B90))</f>
        <v>0</v>
      </c>
      <c r="N90" s="150"/>
      <c r="O90" s="149"/>
      <c r="P90" s="136"/>
      <c r="Q90" s="150">
        <f>(O90+P90)*(1/((1+'PGnE Calculations'!$J$8)^$B90))</f>
        <v>0</v>
      </c>
    </row>
    <row r="91" spans="1:17" ht="15.6" x14ac:dyDescent="0.3">
      <c r="A91" s="148">
        <v>88</v>
      </c>
      <c r="B91" s="63"/>
      <c r="C91" s="149"/>
      <c r="D91" s="136"/>
      <c r="E91" s="136">
        <f>(C91+D91)*(1/((1+'PGnE Calculations'!$J$8)^$B91))</f>
        <v>0</v>
      </c>
      <c r="F91" s="150"/>
      <c r="G91" s="149"/>
      <c r="H91" s="136"/>
      <c r="I91" s="136">
        <f>(G91+H91)*(1/((1+'PGnE Calculations'!$J$8)^$B91))</f>
        <v>0</v>
      </c>
      <c r="J91" s="150"/>
      <c r="K91" s="149"/>
      <c r="L91" s="136"/>
      <c r="M91" s="136">
        <f>(K91+L91)*(1/((1+'PGnE Calculations'!$J$8)^$B91))</f>
        <v>0</v>
      </c>
      <c r="N91" s="150"/>
      <c r="O91" s="149"/>
      <c r="P91" s="136"/>
      <c r="Q91" s="150">
        <f>(O91+P91)*(1/((1+'PGnE Calculations'!$J$8)^$B91))</f>
        <v>0</v>
      </c>
    </row>
    <row r="92" spans="1:17" ht="15.6" x14ac:dyDescent="0.3">
      <c r="A92" s="148">
        <v>89</v>
      </c>
      <c r="B92" s="63"/>
      <c r="C92" s="149"/>
      <c r="D92" s="136"/>
      <c r="E92" s="136">
        <f>(C92+D92)*(1/((1+'PGnE Calculations'!$J$8)^$B92))</f>
        <v>0</v>
      </c>
      <c r="F92" s="150"/>
      <c r="G92" s="149"/>
      <c r="H92" s="136"/>
      <c r="I92" s="136">
        <f>(G92+H92)*(1/((1+'PGnE Calculations'!$J$8)^$B92))</f>
        <v>0</v>
      </c>
      <c r="J92" s="150"/>
      <c r="K92" s="149"/>
      <c r="L92" s="136"/>
      <c r="M92" s="136">
        <f>(K92+L92)*(1/((1+'PGnE Calculations'!$J$8)^$B92))</f>
        <v>0</v>
      </c>
      <c r="N92" s="150"/>
      <c r="O92" s="149"/>
      <c r="P92" s="136"/>
      <c r="Q92" s="150">
        <f>(O92+P92)*(1/((1+'PGnE Calculations'!$J$8)^$B92))</f>
        <v>0</v>
      </c>
    </row>
    <row r="93" spans="1:17" ht="15.6" x14ac:dyDescent="0.3">
      <c r="A93" s="148">
        <v>90</v>
      </c>
      <c r="B93" s="63"/>
      <c r="C93" s="149"/>
      <c r="D93" s="136"/>
      <c r="E93" s="136">
        <f>(C93+D93)*(1/((1+'PGnE Calculations'!$J$8)^$B93))</f>
        <v>0</v>
      </c>
      <c r="F93" s="150"/>
      <c r="G93" s="149"/>
      <c r="H93" s="136"/>
      <c r="I93" s="136">
        <f>(G93+H93)*(1/((1+'PGnE Calculations'!$J$8)^$B93))</f>
        <v>0</v>
      </c>
      <c r="J93" s="150"/>
      <c r="K93" s="149"/>
      <c r="L93" s="136"/>
      <c r="M93" s="136">
        <f>(K93+L93)*(1/((1+'PGnE Calculations'!$J$8)^$B93))</f>
        <v>0</v>
      </c>
      <c r="N93" s="150"/>
      <c r="O93" s="149"/>
      <c r="P93" s="136"/>
      <c r="Q93" s="150">
        <f>(O93+P93)*(1/((1+'PGnE Calculations'!$J$8)^$B93))</f>
        <v>0</v>
      </c>
    </row>
    <row r="94" spans="1:17" ht="15.6" x14ac:dyDescent="0.3">
      <c r="A94" s="148">
        <v>91</v>
      </c>
      <c r="B94" s="63"/>
      <c r="C94" s="149"/>
      <c r="D94" s="136"/>
      <c r="E94" s="136">
        <f>(C94+D94)*(1/((1+'PGnE Calculations'!$J$8)^$B94))</f>
        <v>0</v>
      </c>
      <c r="F94" s="150"/>
      <c r="G94" s="149"/>
      <c r="H94" s="136"/>
      <c r="I94" s="136">
        <f>(G94+H94)*(1/((1+'PGnE Calculations'!$J$8)^$B94))</f>
        <v>0</v>
      </c>
      <c r="J94" s="150"/>
      <c r="K94" s="149"/>
      <c r="L94" s="136"/>
      <c r="M94" s="136">
        <f>(K94+L94)*(1/((1+'PGnE Calculations'!$J$8)^$B94))</f>
        <v>0</v>
      </c>
      <c r="N94" s="150"/>
      <c r="O94" s="149"/>
      <c r="P94" s="136"/>
      <c r="Q94" s="150">
        <f>(O94+P94)*(1/((1+'PGnE Calculations'!$J$8)^$B94))</f>
        <v>0</v>
      </c>
    </row>
    <row r="95" spans="1:17" ht="15.6" x14ac:dyDescent="0.3">
      <c r="A95" s="148">
        <v>92</v>
      </c>
      <c r="B95" s="63"/>
      <c r="C95" s="149"/>
      <c r="D95" s="136"/>
      <c r="E95" s="136">
        <f>(C95+D95)*(1/((1+'PGnE Calculations'!$J$8)^$B95))</f>
        <v>0</v>
      </c>
      <c r="F95" s="150"/>
      <c r="G95" s="149"/>
      <c r="H95" s="136"/>
      <c r="I95" s="136">
        <f>(G95+H95)*(1/((1+'PGnE Calculations'!$J$8)^$B95))</f>
        <v>0</v>
      </c>
      <c r="J95" s="150"/>
      <c r="K95" s="149"/>
      <c r="L95" s="136"/>
      <c r="M95" s="136">
        <f>(K95+L95)*(1/((1+'PGnE Calculations'!$J$8)^$B95))</f>
        <v>0</v>
      </c>
      <c r="N95" s="150"/>
      <c r="O95" s="149"/>
      <c r="P95" s="136"/>
      <c r="Q95" s="150">
        <f>(O95+P95)*(1/((1+'PGnE Calculations'!$J$8)^$B95))</f>
        <v>0</v>
      </c>
    </row>
    <row r="96" spans="1:17" ht="15.6" x14ac:dyDescent="0.3">
      <c r="A96" s="148">
        <v>93</v>
      </c>
      <c r="B96" s="63"/>
      <c r="C96" s="149"/>
      <c r="D96" s="136"/>
      <c r="E96" s="136">
        <f>(C96+D96)*(1/((1+'PGnE Calculations'!$J$8)^$B96))</f>
        <v>0</v>
      </c>
      <c r="F96" s="150"/>
      <c r="G96" s="149"/>
      <c r="H96" s="136"/>
      <c r="I96" s="136">
        <f>(G96+H96)*(1/((1+'PGnE Calculations'!$J$8)^$B96))</f>
        <v>0</v>
      </c>
      <c r="J96" s="150"/>
      <c r="K96" s="149"/>
      <c r="L96" s="136"/>
      <c r="M96" s="136">
        <f>(K96+L96)*(1/((1+'PGnE Calculations'!$J$8)^$B96))</f>
        <v>0</v>
      </c>
      <c r="N96" s="150"/>
      <c r="O96" s="149"/>
      <c r="P96" s="136"/>
      <c r="Q96" s="150">
        <f>(O96+P96)*(1/((1+'PGnE Calculations'!$J$8)^$B96))</f>
        <v>0</v>
      </c>
    </row>
    <row r="97" spans="1:17" ht="15.6" x14ac:dyDescent="0.3">
      <c r="A97" s="148">
        <v>94</v>
      </c>
      <c r="B97" s="63"/>
      <c r="C97" s="149"/>
      <c r="D97" s="136"/>
      <c r="E97" s="136">
        <f>(C97+D97)*(1/((1+'PGnE Calculations'!$J$8)^$B97))</f>
        <v>0</v>
      </c>
      <c r="F97" s="150"/>
      <c r="G97" s="149"/>
      <c r="H97" s="136"/>
      <c r="I97" s="136">
        <f>(G97+H97)*(1/((1+'PGnE Calculations'!$J$8)^$B97))</f>
        <v>0</v>
      </c>
      <c r="J97" s="150"/>
      <c r="K97" s="149"/>
      <c r="L97" s="136"/>
      <c r="M97" s="136">
        <f>(K97+L97)*(1/((1+'PGnE Calculations'!$J$8)^$B97))</f>
        <v>0</v>
      </c>
      <c r="N97" s="150"/>
      <c r="O97" s="149"/>
      <c r="P97" s="136"/>
      <c r="Q97" s="150">
        <f>(O97+P97)*(1/((1+'PGnE Calculations'!$J$8)^$B97))</f>
        <v>0</v>
      </c>
    </row>
    <row r="98" spans="1:17" ht="15.6" x14ac:dyDescent="0.3">
      <c r="A98" s="148">
        <v>95</v>
      </c>
      <c r="B98" s="63"/>
      <c r="C98" s="149"/>
      <c r="D98" s="136"/>
      <c r="E98" s="136">
        <f>(C98+D98)*(1/((1+'PGnE Calculations'!$J$8)^$B98))</f>
        <v>0</v>
      </c>
      <c r="F98" s="150"/>
      <c r="G98" s="149"/>
      <c r="H98" s="136"/>
      <c r="I98" s="136">
        <f>(G98+H98)*(1/((1+'PGnE Calculations'!$J$8)^$B98))</f>
        <v>0</v>
      </c>
      <c r="J98" s="150"/>
      <c r="K98" s="149"/>
      <c r="L98" s="136"/>
      <c r="M98" s="136">
        <f>(K98+L98)*(1/((1+'PGnE Calculations'!$J$8)^$B98))</f>
        <v>0</v>
      </c>
      <c r="N98" s="150"/>
      <c r="O98" s="149"/>
      <c r="P98" s="136"/>
      <c r="Q98" s="150">
        <f>(O98+P98)*(1/((1+'PGnE Calculations'!$J$8)^$B98))</f>
        <v>0</v>
      </c>
    </row>
    <row r="99" spans="1:17" ht="15.6" x14ac:dyDescent="0.3">
      <c r="A99" s="148">
        <v>96</v>
      </c>
      <c r="B99" s="63"/>
      <c r="C99" s="149"/>
      <c r="D99" s="136"/>
      <c r="E99" s="136">
        <f>(C99+D99)*(1/((1+'PGnE Calculations'!$J$8)^$B99))</f>
        <v>0</v>
      </c>
      <c r="F99" s="150"/>
      <c r="G99" s="149"/>
      <c r="H99" s="136"/>
      <c r="I99" s="136">
        <f>(G99+H99)*(1/((1+'PGnE Calculations'!$J$8)^$B99))</f>
        <v>0</v>
      </c>
      <c r="J99" s="150"/>
      <c r="K99" s="149"/>
      <c r="L99" s="136"/>
      <c r="M99" s="136">
        <f>(K99+L99)*(1/((1+'PGnE Calculations'!$J$8)^$B99))</f>
        <v>0</v>
      </c>
      <c r="N99" s="150"/>
      <c r="O99" s="149"/>
      <c r="P99" s="136"/>
      <c r="Q99" s="150">
        <f>(O99+P99)*(1/((1+'PGnE Calculations'!$J$8)^$B99))</f>
        <v>0</v>
      </c>
    </row>
    <row r="100" spans="1:17" ht="15.6" x14ac:dyDescent="0.3">
      <c r="A100" s="148">
        <v>97</v>
      </c>
      <c r="B100" s="63"/>
      <c r="C100" s="149"/>
      <c r="D100" s="136"/>
      <c r="E100" s="136">
        <f>(C100+D100)*(1/((1+'PGnE Calculations'!$J$8)^$B100))</f>
        <v>0</v>
      </c>
      <c r="F100" s="150"/>
      <c r="G100" s="149"/>
      <c r="H100" s="136"/>
      <c r="I100" s="136">
        <f>(G100+H100)*(1/((1+'PGnE Calculations'!$J$8)^$B100))</f>
        <v>0</v>
      </c>
      <c r="J100" s="150"/>
      <c r="K100" s="149"/>
      <c r="L100" s="136"/>
      <c r="M100" s="136">
        <f>(K100+L100)*(1/((1+'PGnE Calculations'!$J$8)^$B100))</f>
        <v>0</v>
      </c>
      <c r="N100" s="150"/>
      <c r="O100" s="149"/>
      <c r="P100" s="136"/>
      <c r="Q100" s="150">
        <f>(O100+P100)*(1/((1+'PGnE Calculations'!$J$8)^$B100))</f>
        <v>0</v>
      </c>
    </row>
    <row r="101" spans="1:17" ht="15.6" x14ac:dyDescent="0.3">
      <c r="A101" s="148">
        <v>98</v>
      </c>
      <c r="B101" s="63"/>
      <c r="C101" s="149"/>
      <c r="D101" s="136"/>
      <c r="E101" s="136">
        <f>(C101+D101)*(1/((1+'PGnE Calculations'!$J$8)^$B101))</f>
        <v>0</v>
      </c>
      <c r="F101" s="150"/>
      <c r="G101" s="149"/>
      <c r="H101" s="136"/>
      <c r="I101" s="136">
        <f>(G101+H101)*(1/((1+'PGnE Calculations'!$J$8)^$B101))</f>
        <v>0</v>
      </c>
      <c r="J101" s="150"/>
      <c r="K101" s="149"/>
      <c r="L101" s="136"/>
      <c r="M101" s="136">
        <f>(K101+L101)*(1/((1+'PGnE Calculations'!$J$8)^$B101))</f>
        <v>0</v>
      </c>
      <c r="N101" s="150"/>
      <c r="O101" s="149"/>
      <c r="P101" s="136"/>
      <c r="Q101" s="150">
        <f>(O101+P101)*(1/((1+'PGnE Calculations'!$J$8)^$B101))</f>
        <v>0</v>
      </c>
    </row>
    <row r="102" spans="1:17" ht="15.6" x14ac:dyDescent="0.3">
      <c r="A102" s="148">
        <v>99</v>
      </c>
      <c r="B102" s="63"/>
      <c r="C102" s="149"/>
      <c r="D102" s="136"/>
      <c r="E102" s="136">
        <f>(C102+D102)*(1/((1+'PGnE Calculations'!$J$8)^$B102))</f>
        <v>0</v>
      </c>
      <c r="F102" s="150"/>
      <c r="G102" s="149"/>
      <c r="H102" s="136"/>
      <c r="I102" s="136">
        <f>(G102+H102)*(1/((1+'PGnE Calculations'!$J$8)^$B102))</f>
        <v>0</v>
      </c>
      <c r="J102" s="150"/>
      <c r="K102" s="149"/>
      <c r="L102" s="136"/>
      <c r="M102" s="136">
        <f>(K102+L102)*(1/((1+'PGnE Calculations'!$J$8)^$B102))</f>
        <v>0</v>
      </c>
      <c r="N102" s="150"/>
      <c r="O102" s="149"/>
      <c r="P102" s="136"/>
      <c r="Q102" s="150">
        <f>(O102+P102)*(1/((1+'PGnE Calculations'!$J$8)^$B102))</f>
        <v>0</v>
      </c>
    </row>
    <row r="103" spans="1:17" ht="16.2" thickBot="1" x14ac:dyDescent="0.35">
      <c r="A103" s="153">
        <v>100</v>
      </c>
      <c r="B103" s="7"/>
      <c r="C103" s="151"/>
      <c r="D103" s="152"/>
      <c r="E103" s="152">
        <f>(C103+D103)*(1/((1+'PGnE Calculations'!$J$8)^$B103))</f>
        <v>0</v>
      </c>
      <c r="F103" s="85"/>
      <c r="G103" s="151"/>
      <c r="H103" s="152"/>
      <c r="I103" s="152">
        <f>(G103+H103)*(1/((1+'PGnE Calculations'!$J$8)^$B103))</f>
        <v>0</v>
      </c>
      <c r="J103" s="85"/>
      <c r="K103" s="151"/>
      <c r="L103" s="152"/>
      <c r="M103" s="152">
        <f>(K103+L103)*(1/((1+'PGnE Calculations'!$J$8)^$B103))</f>
        <v>0</v>
      </c>
      <c r="N103" s="85"/>
      <c r="O103" s="151"/>
      <c r="P103" s="152"/>
      <c r="Q103" s="85">
        <f>(O103+P103)*(1/((1+'PGnE Calculations'!$J$8)^$B103))</f>
        <v>0</v>
      </c>
    </row>
  </sheetData>
  <mergeCells count="4">
    <mergeCell ref="C1:F1"/>
    <mergeCell ref="G1:J1"/>
    <mergeCell ref="O1:Q1"/>
    <mergeCell ref="K1:N1"/>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DE7B62-7AD4-4F15-8635-2BB627011936}">
  <sheetPr>
    <pageSetUpPr fitToPage="1"/>
  </sheetPr>
  <dimension ref="A1:Z56"/>
  <sheetViews>
    <sheetView zoomScale="85" zoomScaleNormal="85" workbookViewId="0">
      <selection activeCell="A4" sqref="A4"/>
    </sheetView>
  </sheetViews>
  <sheetFormatPr defaultColWidth="8.6640625" defaultRowHeight="15.6" x14ac:dyDescent="0.3"/>
  <cols>
    <col min="1" max="1" width="19" style="10" customWidth="1"/>
    <col min="2" max="2" width="11.33203125" style="10" customWidth="1"/>
    <col min="3" max="3" width="17.88671875" style="10" customWidth="1"/>
    <col min="4" max="4" width="19.44140625" style="10" customWidth="1"/>
    <col min="5" max="5" width="103" style="10" customWidth="1"/>
    <col min="6" max="6" width="17.5546875" style="10" customWidth="1"/>
    <col min="7" max="7" width="18.33203125" style="10" customWidth="1"/>
    <col min="8" max="9" width="19.5546875" style="10" customWidth="1"/>
    <col min="10" max="10" width="22.6640625" style="10" customWidth="1"/>
    <col min="11" max="12" width="18.5546875" style="10" customWidth="1"/>
    <col min="13" max="13" width="19.33203125" style="10" customWidth="1"/>
    <col min="14" max="14" width="21.5546875" style="10" customWidth="1"/>
    <col min="15" max="15" width="20.5546875" style="10" customWidth="1"/>
    <col min="16" max="16" width="20.6640625" style="10" customWidth="1"/>
    <col min="17" max="17" width="18" style="10" customWidth="1"/>
    <col min="18" max="18" width="18.5546875" style="10" customWidth="1"/>
    <col min="19" max="21" width="20.33203125" style="10" customWidth="1"/>
    <col min="22" max="23" width="36.5546875" style="10" customWidth="1"/>
    <col min="24" max="25" width="20.33203125" style="10" customWidth="1"/>
    <col min="26" max="26" width="90.88671875" style="108" customWidth="1"/>
    <col min="27" max="16384" width="8.6640625" style="10"/>
  </cols>
  <sheetData>
    <row r="1" spans="1:26" s="1" customFormat="1" x14ac:dyDescent="0.3">
      <c r="A1" s="1" t="s">
        <v>76</v>
      </c>
      <c r="C1"/>
      <c r="D1"/>
      <c r="E1"/>
      <c r="F1"/>
      <c r="G1"/>
      <c r="H1" s="10" t="s">
        <v>77</v>
      </c>
      <c r="Z1" s="105"/>
    </row>
    <row r="2" spans="1:26" s="1" customFormat="1" x14ac:dyDescent="0.3">
      <c r="A2" s="1" t="s">
        <v>78</v>
      </c>
      <c r="C2"/>
      <c r="D2"/>
      <c r="E2"/>
      <c r="F2"/>
      <c r="G2"/>
      <c r="Z2" s="105"/>
    </row>
    <row r="3" spans="1:26" s="1" customFormat="1" ht="16.2" thickBot="1" x14ac:dyDescent="0.35">
      <c r="A3" s="1" t="s">
        <v>79</v>
      </c>
      <c r="C3"/>
      <c r="D3"/>
      <c r="E3"/>
      <c r="F3"/>
      <c r="G3"/>
      <c r="Z3" s="105"/>
    </row>
    <row r="4" spans="1:26" s="1" customFormat="1" ht="43.95" customHeight="1" thickBot="1" x14ac:dyDescent="0.35">
      <c r="B4" s="27"/>
      <c r="C4"/>
      <c r="D4"/>
      <c r="E4"/>
      <c r="F4" s="283" t="s">
        <v>80</v>
      </c>
      <c r="G4" s="285"/>
      <c r="H4" s="285"/>
      <c r="I4" s="285"/>
      <c r="J4" s="285"/>
      <c r="K4" s="285"/>
      <c r="L4" s="285"/>
      <c r="M4" s="285"/>
      <c r="N4" s="285"/>
      <c r="O4" s="285"/>
      <c r="P4" s="285"/>
      <c r="Q4" s="285"/>
      <c r="R4" s="285"/>
      <c r="S4" s="285"/>
      <c r="T4" s="285"/>
      <c r="U4" s="284"/>
      <c r="V4" s="283" t="s">
        <v>81</v>
      </c>
      <c r="W4" s="284"/>
      <c r="Z4" s="105"/>
    </row>
    <row r="5" spans="1:26" s="31" customFormat="1" ht="63" thickBot="1" x14ac:dyDescent="0.35">
      <c r="B5" s="28" t="s">
        <v>82</v>
      </c>
      <c r="C5" s="29" t="s">
        <v>83</v>
      </c>
      <c r="D5" s="29" t="s">
        <v>84</v>
      </c>
      <c r="E5" s="29" t="s">
        <v>53</v>
      </c>
      <c r="F5" s="29" t="s">
        <v>85</v>
      </c>
      <c r="G5" s="29" t="s">
        <v>86</v>
      </c>
      <c r="H5" s="29" t="s">
        <v>87</v>
      </c>
      <c r="I5" s="29" t="s">
        <v>88</v>
      </c>
      <c r="J5" s="29" t="s">
        <v>89</v>
      </c>
      <c r="K5" s="29" t="s">
        <v>90</v>
      </c>
      <c r="L5" s="29" t="s">
        <v>91</v>
      </c>
      <c r="M5" s="29" t="s">
        <v>92</v>
      </c>
      <c r="N5" s="29" t="s">
        <v>93</v>
      </c>
      <c r="O5" s="29" t="s">
        <v>94</v>
      </c>
      <c r="P5" s="29" t="s">
        <v>95</v>
      </c>
      <c r="Q5" s="29" t="s">
        <v>26</v>
      </c>
      <c r="R5" s="29" t="s">
        <v>96</v>
      </c>
      <c r="S5" s="29" t="s">
        <v>97</v>
      </c>
      <c r="T5" s="29" t="s">
        <v>98</v>
      </c>
      <c r="U5" s="29" t="s">
        <v>99</v>
      </c>
      <c r="V5" s="162" t="s">
        <v>100</v>
      </c>
      <c r="W5" s="163" t="s">
        <v>101</v>
      </c>
      <c r="X5" s="30" t="s">
        <v>102</v>
      </c>
      <c r="Y5" s="28" t="s">
        <v>103</v>
      </c>
      <c r="Z5" s="113" t="s">
        <v>104</v>
      </c>
    </row>
    <row r="6" spans="1:26" s="72" customFormat="1" ht="69.599999999999994" thickBot="1" x14ac:dyDescent="0.4">
      <c r="A6" s="280" t="s">
        <v>105</v>
      </c>
      <c r="B6" s="68" t="s">
        <v>106</v>
      </c>
      <c r="C6" s="6" t="s">
        <v>107</v>
      </c>
      <c r="D6" s="6" t="s">
        <v>108</v>
      </c>
      <c r="E6" s="69" t="s">
        <v>109</v>
      </c>
      <c r="F6" s="70">
        <f>F19/F17</f>
        <v>28973.276558441557</v>
      </c>
      <c r="G6" s="70">
        <f t="shared" ref="G6:U6" si="0">G19/G17</f>
        <v>38259.201904761903</v>
      </c>
      <c r="H6" s="70">
        <f t="shared" si="0"/>
        <v>43801.234225352113</v>
      </c>
      <c r="I6" s="70">
        <f t="shared" si="0"/>
        <v>24863.026807511738</v>
      </c>
      <c r="J6" s="70">
        <f t="shared" si="0"/>
        <v>28591.119340659337</v>
      </c>
      <c r="K6" s="70">
        <f t="shared" si="0"/>
        <v>15327.19576923077</v>
      </c>
      <c r="L6" s="70">
        <f t="shared" si="0"/>
        <v>39665.223484848488</v>
      </c>
      <c r="M6" s="70">
        <f t="shared" si="0"/>
        <v>52893.430892857148</v>
      </c>
      <c r="N6" s="70">
        <f t="shared" si="0"/>
        <v>28063.328481012661</v>
      </c>
      <c r="O6" s="70">
        <f t="shared" si="0"/>
        <v>30456.711458333335</v>
      </c>
      <c r="P6" s="70">
        <f t="shared" si="0"/>
        <v>28405.227085427137</v>
      </c>
      <c r="Q6" s="70">
        <f t="shared" si="0"/>
        <v>25864.9269375</v>
      </c>
      <c r="R6" s="70">
        <f t="shared" si="0"/>
        <v>29681.339846153849</v>
      </c>
      <c r="S6" s="70">
        <f t="shared" si="0"/>
        <v>41482.185895316805</v>
      </c>
      <c r="T6" s="70">
        <f t="shared" si="0"/>
        <v>32598.461052631581</v>
      </c>
      <c r="U6" s="70">
        <f t="shared" si="0"/>
        <v>20966.541780821917</v>
      </c>
      <c r="V6" s="78">
        <f>V19/V17</f>
        <v>49167.758156862743</v>
      </c>
      <c r="W6" s="70">
        <f>W19/W17</f>
        <v>39464.548560606061</v>
      </c>
      <c r="X6" s="103"/>
      <c r="Y6" s="71">
        <f>SUMPRODUCT(F6:W6,F17:W17)/SUM(F17:W17)</f>
        <v>35080.521805296528</v>
      </c>
      <c r="Z6" s="106" t="s">
        <v>110</v>
      </c>
    </row>
    <row r="7" spans="1:26" s="72" customFormat="1" ht="83.4" thickBot="1" x14ac:dyDescent="0.4">
      <c r="A7" s="282"/>
      <c r="B7" s="68" t="s">
        <v>111</v>
      </c>
      <c r="C7" s="6" t="s">
        <v>112</v>
      </c>
      <c r="D7" s="6" t="s">
        <v>113</v>
      </c>
      <c r="E7" s="69" t="s">
        <v>114</v>
      </c>
      <c r="F7" s="70">
        <v>49139.23338748984</v>
      </c>
      <c r="G7" s="70">
        <v>56676.055406162472</v>
      </c>
      <c r="H7" s="70">
        <v>34769.861901012373</v>
      </c>
      <c r="I7" s="70">
        <v>34285.782144019526</v>
      </c>
      <c r="J7" s="70">
        <v>31640.982225332402</v>
      </c>
      <c r="K7" s="70">
        <v>32310.740785498492</v>
      </c>
      <c r="L7" s="70">
        <v>35345.99566881721</v>
      </c>
      <c r="M7" s="70">
        <v>53245.796215344941</v>
      </c>
      <c r="N7" s="70">
        <v>31882.803942672745</v>
      </c>
      <c r="O7" s="70">
        <v>36254.437546829155</v>
      </c>
      <c r="P7" s="70">
        <v>29669.325025996543</v>
      </c>
      <c r="Q7" s="70">
        <v>30504.599869721467</v>
      </c>
      <c r="R7" s="70">
        <v>34738.244786771109</v>
      </c>
      <c r="S7" s="70">
        <v>38612.953677092126</v>
      </c>
      <c r="T7" s="70">
        <v>33203.61103594552</v>
      </c>
      <c r="U7" s="70">
        <v>27127.244957862655</v>
      </c>
      <c r="V7" s="78">
        <v>37347.006679092381</v>
      </c>
      <c r="W7" s="70">
        <v>35668.824147322237</v>
      </c>
      <c r="X7" s="104"/>
      <c r="Y7" s="71">
        <v>33681.522610850632</v>
      </c>
      <c r="Z7" s="107" t="s">
        <v>115</v>
      </c>
    </row>
    <row r="8" spans="1:26" ht="16.2" thickBot="1" x14ac:dyDescent="0.35"/>
    <row r="9" spans="1:26" ht="55.8" thickBot="1" x14ac:dyDescent="0.35">
      <c r="A9" s="280" t="s">
        <v>116</v>
      </c>
      <c r="B9" s="90" t="s">
        <v>117</v>
      </c>
      <c r="C9" s="91" t="s">
        <v>107</v>
      </c>
      <c r="D9" s="91" t="s">
        <v>118</v>
      </c>
      <c r="E9" s="16" t="s">
        <v>119</v>
      </c>
      <c r="F9" s="92">
        <f t="shared" ref="F9:U9" si="1">F19/F18</f>
        <v>2324516.7789371433</v>
      </c>
      <c r="G9" s="92">
        <f t="shared" si="1"/>
        <v>3510257.5948156221</v>
      </c>
      <c r="H9" s="92">
        <f t="shared" si="1"/>
        <v>3684256.9469981897</v>
      </c>
      <c r="I9" s="92">
        <f t="shared" si="1"/>
        <v>1960720.4930314571</v>
      </c>
      <c r="J9" s="92">
        <f t="shared" si="1"/>
        <v>2507171.9919824023</v>
      </c>
      <c r="K9" s="92">
        <f t="shared" si="1"/>
        <v>1187245.6631484486</v>
      </c>
      <c r="L9" s="92">
        <f t="shared" si="1"/>
        <v>2839246.098292802</v>
      </c>
      <c r="M9" s="92">
        <f t="shared" si="1"/>
        <v>4170915.3204640094</v>
      </c>
      <c r="N9" s="92">
        <f t="shared" si="1"/>
        <v>2418774.5325458311</v>
      </c>
      <c r="O9" s="92">
        <f t="shared" si="1"/>
        <v>3721210.4804818812</v>
      </c>
      <c r="P9" s="92">
        <f t="shared" si="1"/>
        <v>2263153.5535116671</v>
      </c>
      <c r="Q9" s="92">
        <f t="shared" si="1"/>
        <v>2694134.5226945896</v>
      </c>
      <c r="R9" s="92">
        <f t="shared" si="1"/>
        <v>2183466.3656469095</v>
      </c>
      <c r="S9" s="92">
        <f t="shared" si="1"/>
        <v>2391957.1478239237</v>
      </c>
      <c r="T9" s="92">
        <f t="shared" si="1"/>
        <v>1542138.7151160513</v>
      </c>
      <c r="U9" s="92">
        <f t="shared" si="1"/>
        <v>1620507.824214393</v>
      </c>
      <c r="V9" s="33">
        <f>V19/V18</f>
        <v>5384708.5640408201</v>
      </c>
      <c r="W9" s="92">
        <f>W19/W18</f>
        <v>6498654.9764460642</v>
      </c>
      <c r="X9" s="101"/>
      <c r="Y9" s="33">
        <f>SUMPRODUCT(F9:W9,F18:W18)/SUM(F18:W18)</f>
        <v>2951455.9450575579</v>
      </c>
      <c r="Z9" s="109" t="s">
        <v>120</v>
      </c>
    </row>
    <row r="10" spans="1:26" ht="94.2" thickBot="1" x14ac:dyDescent="0.35">
      <c r="A10" s="281"/>
      <c r="B10" s="4"/>
      <c r="C10" s="5" t="s">
        <v>112</v>
      </c>
      <c r="D10" s="5" t="s">
        <v>121</v>
      </c>
      <c r="E10" s="7" t="s">
        <v>122</v>
      </c>
      <c r="F10" s="129">
        <f t="shared" ref="F10:U10" si="2">(F29-(F9*F28))/F27</f>
        <v>1929702.0255042049</v>
      </c>
      <c r="G10" s="129">
        <f t="shared" si="2"/>
        <v>2302838.958514689</v>
      </c>
      <c r="H10" s="129">
        <f t="shared" si="2"/>
        <v>79522.105050435741</v>
      </c>
      <c r="I10" s="129">
        <f t="shared" si="2"/>
        <v>1545355.1842609572</v>
      </c>
      <c r="J10" s="129">
        <f t="shared" si="2"/>
        <v>1000211.8145760245</v>
      </c>
      <c r="K10" s="129">
        <f t="shared" si="2"/>
        <v>1827305.721792727</v>
      </c>
      <c r="L10" s="129">
        <f t="shared" si="2"/>
        <v>1122884.6881389536</v>
      </c>
      <c r="M10" s="129">
        <f t="shared" si="2"/>
        <v>1101010.3090167192</v>
      </c>
      <c r="N10" s="129">
        <f t="shared" si="2"/>
        <v>1102891.4689885045</v>
      </c>
      <c r="O10" s="129">
        <f t="shared" si="2"/>
        <v>969215.07780782599</v>
      </c>
      <c r="P10" s="129">
        <f t="shared" si="2"/>
        <v>1110749.3841471581</v>
      </c>
      <c r="Q10" s="129">
        <f t="shared" si="2"/>
        <v>1053693.3326468158</v>
      </c>
      <c r="R10" s="129">
        <f t="shared" si="2"/>
        <v>1531500.1563493973</v>
      </c>
      <c r="S10" s="129">
        <f t="shared" si="2"/>
        <v>1392862.0355816521</v>
      </c>
      <c r="T10" s="129">
        <f t="shared" si="2"/>
        <v>1895437.7881528686</v>
      </c>
      <c r="U10" s="129">
        <f t="shared" si="2"/>
        <v>1037068.3660317599</v>
      </c>
      <c r="V10" s="77" t="s">
        <v>123</v>
      </c>
      <c r="W10" s="77" t="s">
        <v>123</v>
      </c>
      <c r="X10" s="102"/>
      <c r="Y10" s="32">
        <f>(Y29-(Y9*Y28))/Y27</f>
        <v>819771.06883153704</v>
      </c>
      <c r="Z10" s="109"/>
    </row>
    <row r="11" spans="1:26" ht="94.2" thickBot="1" x14ac:dyDescent="0.35">
      <c r="A11" s="281"/>
      <c r="B11" s="90" t="s">
        <v>124</v>
      </c>
      <c r="C11" s="91" t="s">
        <v>112</v>
      </c>
      <c r="D11" s="91" t="s">
        <v>125</v>
      </c>
      <c r="E11" s="87" t="s">
        <v>126</v>
      </c>
      <c r="F11" s="132"/>
      <c r="G11" s="127"/>
      <c r="H11" s="127"/>
      <c r="I11" s="127"/>
      <c r="J11" s="127"/>
      <c r="K11" s="127"/>
      <c r="L11" s="127"/>
      <c r="M11" s="127"/>
      <c r="N11" s="127"/>
      <c r="O11" s="127"/>
      <c r="P11" s="127"/>
      <c r="Q11" s="127"/>
      <c r="R11" s="127"/>
      <c r="S11" s="127"/>
      <c r="T11" s="127"/>
      <c r="U11" s="128"/>
      <c r="V11" s="92">
        <f>V23</f>
        <v>5275673.5963437688</v>
      </c>
      <c r="W11" s="92">
        <f>W23</f>
        <v>7430952.7245799005</v>
      </c>
      <c r="X11" s="127"/>
      <c r="Y11" s="33">
        <f>Y23</f>
        <v>3871135.0292156739</v>
      </c>
      <c r="Z11" s="110" t="str">
        <f>Z23</f>
        <v>The value for "cost per main mile replaced" was derived using recorded costs and units from 2021 - 2024 which were then averaged. Due to volumes of work differing by PG&amp;E operating districts (divisions), PG&amp;E provides a weighted average for this value in the last column. Any ratesetting activity should rely on the forecast presented in the General Rate Case (GRC). The value presented in this spreadsheet is different from the forecast methodology used in the GRC or other proceedings.</v>
      </c>
    </row>
    <row r="12" spans="1:26" ht="125.4" thickBot="1" x14ac:dyDescent="0.35">
      <c r="A12" s="281"/>
      <c r="B12" s="4" t="s">
        <v>127</v>
      </c>
      <c r="C12" s="5" t="s">
        <v>128</v>
      </c>
      <c r="D12" s="6" t="s">
        <v>129</v>
      </c>
      <c r="E12" s="7" t="s">
        <v>130</v>
      </c>
      <c r="F12" s="57">
        <f t="shared" ref="F12:W12" si="3">IFERROR(F47/F44, 0)</f>
        <v>3056326.4361538463</v>
      </c>
      <c r="G12" s="57">
        <f t="shared" si="3"/>
        <v>2883551.1899999995</v>
      </c>
      <c r="H12" s="57">
        <f t="shared" si="3"/>
        <v>2539484.8999999994</v>
      </c>
      <c r="I12" s="57">
        <f t="shared" si="3"/>
        <v>4065911.6233333331</v>
      </c>
      <c r="J12" s="57">
        <f t="shared" si="3"/>
        <v>0</v>
      </c>
      <c r="K12" s="57">
        <f t="shared" si="3"/>
        <v>3226512.0000000005</v>
      </c>
      <c r="L12" s="57">
        <f t="shared" si="3"/>
        <v>2917276.7387499996</v>
      </c>
      <c r="M12" s="57">
        <f t="shared" si="3"/>
        <v>3449218.6</v>
      </c>
      <c r="N12" s="57">
        <f t="shared" si="3"/>
        <v>1884799.2250000003</v>
      </c>
      <c r="O12" s="57">
        <f t="shared" si="3"/>
        <v>3149342.2928571431</v>
      </c>
      <c r="P12" s="57">
        <f t="shared" si="3"/>
        <v>2489036.9650000003</v>
      </c>
      <c r="Q12" s="57">
        <f t="shared" si="3"/>
        <v>4423207.4750000006</v>
      </c>
      <c r="R12" s="57">
        <f t="shared" si="3"/>
        <v>2237016.4624999994</v>
      </c>
      <c r="S12" s="57">
        <f t="shared" si="3"/>
        <v>3547129.13</v>
      </c>
      <c r="T12" s="57">
        <f t="shared" si="3"/>
        <v>2891675.65</v>
      </c>
      <c r="U12" s="57">
        <f t="shared" si="3"/>
        <v>3026546.7850000001</v>
      </c>
      <c r="V12" s="57">
        <f t="shared" si="3"/>
        <v>3921483.3799999994</v>
      </c>
      <c r="W12" s="57">
        <f t="shared" si="3"/>
        <v>0</v>
      </c>
      <c r="X12" s="127"/>
      <c r="Y12" s="147">
        <f>SUMPRODUCT(F12:W12, F44:W44) / SUM(F44:W44)</f>
        <v>3046801.1796923075</v>
      </c>
      <c r="Z12" s="54" t="s">
        <v>131</v>
      </c>
    </row>
    <row r="13" spans="1:26" s="1" customFormat="1" ht="42" thickBot="1" x14ac:dyDescent="0.35">
      <c r="A13" s="281"/>
      <c r="B13" s="90" t="s">
        <v>132</v>
      </c>
      <c r="C13" s="91" t="s">
        <v>133</v>
      </c>
      <c r="D13" s="94" t="s">
        <v>134</v>
      </c>
      <c r="E13" s="90" t="s">
        <v>135</v>
      </c>
      <c r="F13" s="130"/>
      <c r="G13" s="131"/>
      <c r="H13" s="131"/>
      <c r="I13" s="131"/>
      <c r="J13" s="131"/>
      <c r="K13" s="131"/>
      <c r="L13" s="131"/>
      <c r="M13" s="131"/>
      <c r="N13" s="131"/>
      <c r="O13" s="131"/>
      <c r="P13" s="131"/>
      <c r="Q13" s="131"/>
      <c r="R13" s="131"/>
      <c r="S13" s="131"/>
      <c r="T13" s="131"/>
      <c r="U13" s="131"/>
      <c r="V13" s="117"/>
      <c r="W13" s="117"/>
      <c r="X13" s="118"/>
      <c r="Y13" s="146">
        <v>62.66</v>
      </c>
      <c r="Z13" s="119" t="s">
        <v>136</v>
      </c>
    </row>
    <row r="14" spans="1:26" ht="63" thickBot="1" x14ac:dyDescent="0.35">
      <c r="A14" s="281"/>
      <c r="B14" s="4" t="s">
        <v>137</v>
      </c>
      <c r="C14" s="5" t="s">
        <v>112</v>
      </c>
      <c r="D14" s="5" t="s">
        <v>138</v>
      </c>
      <c r="E14" s="7" t="s">
        <v>139</v>
      </c>
      <c r="F14" s="42">
        <v>1106.7249999999999</v>
      </c>
      <c r="G14" s="42">
        <v>1227.8181818181818</v>
      </c>
      <c r="H14" s="42">
        <v>1474.1935483870968</v>
      </c>
      <c r="I14" s="42">
        <v>1019.027397260274</v>
      </c>
      <c r="J14" s="42">
        <v>992.93333333333328</v>
      </c>
      <c r="K14" s="42">
        <v>696.55555555555554</v>
      </c>
      <c r="L14" s="42">
        <v>1490.1228070175439</v>
      </c>
      <c r="M14" s="42">
        <v>1564.0930232558139</v>
      </c>
      <c r="N14" s="42">
        <v>860.84545454545457</v>
      </c>
      <c r="O14" s="42">
        <v>1397.7352941176471</v>
      </c>
      <c r="P14" s="42">
        <v>928.57653061224494</v>
      </c>
      <c r="Q14" s="42">
        <v>1354.258064516129</v>
      </c>
      <c r="R14" s="42">
        <v>907.61016949152543</v>
      </c>
      <c r="S14" s="42">
        <v>1310.8823529411766</v>
      </c>
      <c r="T14" s="42">
        <v>1024.3934426229507</v>
      </c>
      <c r="U14" s="42">
        <v>1040.0714285714287</v>
      </c>
      <c r="V14" s="42">
        <v>1239.5333333333333</v>
      </c>
      <c r="W14" s="42">
        <v>1451.2241379310344</v>
      </c>
      <c r="X14" s="43"/>
      <c r="Y14" s="44">
        <f>AVERAGE(F14:W14)</f>
        <v>1171.4777252950398</v>
      </c>
      <c r="Z14" s="110" t="s">
        <v>140</v>
      </c>
    </row>
    <row r="15" spans="1:26" s="55" customFormat="1" ht="69.599999999999994" thickBot="1" x14ac:dyDescent="0.35">
      <c r="A15" s="282"/>
      <c r="B15" s="51" t="s">
        <v>141</v>
      </c>
      <c r="C15" s="52" t="s">
        <v>128</v>
      </c>
      <c r="D15" s="52" t="s">
        <v>142</v>
      </c>
      <c r="E15" s="59" t="s">
        <v>143</v>
      </c>
      <c r="F15" s="60">
        <v>919.53846153846155</v>
      </c>
      <c r="G15" s="60">
        <v>1222.8333333333333</v>
      </c>
      <c r="H15" s="60">
        <v>777.5</v>
      </c>
      <c r="I15" s="60">
        <v>1338.6666666666667</v>
      </c>
      <c r="J15" s="60"/>
      <c r="K15" s="60">
        <v>627</v>
      </c>
      <c r="L15" s="60">
        <v>886.375</v>
      </c>
      <c r="M15" s="60">
        <v>499.5</v>
      </c>
      <c r="N15" s="60">
        <v>1015.5</v>
      </c>
      <c r="O15" s="60">
        <v>1061.4285714285713</v>
      </c>
      <c r="P15" s="60">
        <v>695.5</v>
      </c>
      <c r="Q15" s="60">
        <v>976</v>
      </c>
      <c r="R15" s="60">
        <v>772.25</v>
      </c>
      <c r="S15" s="60">
        <v>693</v>
      </c>
      <c r="T15" s="60">
        <v>2819</v>
      </c>
      <c r="U15" s="60">
        <v>841</v>
      </c>
      <c r="V15" s="60">
        <v>863.5</v>
      </c>
      <c r="W15" s="60">
        <v>0</v>
      </c>
      <c r="X15" s="134"/>
      <c r="Y15" s="60">
        <f>SUMPRODUCT(F15:W15, F44:W44) / SUM(F44:W44)</f>
        <v>947.61538461538464</v>
      </c>
      <c r="Z15" s="112" t="s">
        <v>144</v>
      </c>
    </row>
    <row r="16" spans="1:26" ht="16.2" thickBot="1" x14ac:dyDescent="0.35"/>
    <row r="17" spans="1:26" ht="47.4" thickBot="1" x14ac:dyDescent="0.35">
      <c r="A17" s="280" t="s">
        <v>145</v>
      </c>
      <c r="B17" s="90" t="s">
        <v>146</v>
      </c>
      <c r="C17" s="91" t="s">
        <v>107</v>
      </c>
      <c r="D17" s="91" t="s">
        <v>147</v>
      </c>
      <c r="E17" s="16" t="s">
        <v>148</v>
      </c>
      <c r="F17" s="114">
        <v>38.5</v>
      </c>
      <c r="G17" s="114">
        <v>10.5</v>
      </c>
      <c r="H17" s="114">
        <v>35.5</v>
      </c>
      <c r="I17" s="114">
        <v>53.25</v>
      </c>
      <c r="J17" s="114">
        <v>22.75</v>
      </c>
      <c r="K17" s="114">
        <v>6.5</v>
      </c>
      <c r="L17" s="114">
        <v>16.5</v>
      </c>
      <c r="M17" s="114">
        <v>42</v>
      </c>
      <c r="N17" s="114">
        <v>39.5</v>
      </c>
      <c r="O17" s="114">
        <v>84</v>
      </c>
      <c r="P17" s="114">
        <v>49.75</v>
      </c>
      <c r="Q17" s="114">
        <v>40</v>
      </c>
      <c r="R17" s="114">
        <v>16.25</v>
      </c>
      <c r="S17" s="114">
        <v>90.75</v>
      </c>
      <c r="T17" s="114">
        <v>9.5</v>
      </c>
      <c r="U17" s="114">
        <v>18.25</v>
      </c>
      <c r="V17" s="35">
        <v>63.75</v>
      </c>
      <c r="W17" s="114">
        <v>33</v>
      </c>
      <c r="X17" s="13"/>
      <c r="Y17" s="35">
        <f>SUM(F17:W17)</f>
        <v>670.25</v>
      </c>
      <c r="Z17" s="110" t="s">
        <v>149</v>
      </c>
    </row>
    <row r="18" spans="1:26" ht="55.8" thickBot="1" x14ac:dyDescent="0.35">
      <c r="A18" s="281"/>
      <c r="B18" s="4" t="s">
        <v>150</v>
      </c>
      <c r="C18" s="5" t="s">
        <v>107</v>
      </c>
      <c r="D18" s="5" t="s">
        <v>151</v>
      </c>
      <c r="E18" s="7" t="s">
        <v>152</v>
      </c>
      <c r="F18" s="36">
        <v>0.47987227178030328</v>
      </c>
      <c r="G18" s="36">
        <v>0.11444220520833333</v>
      </c>
      <c r="H18" s="36">
        <v>0.42205086055871227</v>
      </c>
      <c r="I18" s="36">
        <v>0.6752396285984853</v>
      </c>
      <c r="J18" s="36">
        <v>0.25943491993371209</v>
      </c>
      <c r="K18" s="36">
        <v>8.3914202083333334E-2</v>
      </c>
      <c r="L18" s="36">
        <v>0.23051055274621216</v>
      </c>
      <c r="M18" s="36">
        <v>0.53262268035037885</v>
      </c>
      <c r="N18" s="36">
        <v>0.4582905351799243</v>
      </c>
      <c r="O18" s="36">
        <v>0.68750848035037859</v>
      </c>
      <c r="P18" s="36">
        <v>0.62442075364583294</v>
      </c>
      <c r="Q18" s="36">
        <v>0.38401834384469719</v>
      </c>
      <c r="R18" s="36">
        <v>0.22089727604166667</v>
      </c>
      <c r="S18" s="36">
        <v>1.5738193192234866</v>
      </c>
      <c r="T18" s="36">
        <v>0.20081551482007579</v>
      </c>
      <c r="U18" s="36">
        <v>0.23612313484848491</v>
      </c>
      <c r="V18" s="80">
        <v>0.58210106363636405</v>
      </c>
      <c r="W18" s="36">
        <v>0.20039994540719694</v>
      </c>
      <c r="X18" s="38"/>
      <c r="Y18" s="37">
        <f>SUM(F18:W18)</f>
        <v>7.966481688257578</v>
      </c>
      <c r="Z18" s="110" t="s">
        <v>153</v>
      </c>
    </row>
    <row r="19" spans="1:26" ht="111" thickBot="1" x14ac:dyDescent="0.35">
      <c r="A19" s="281"/>
      <c r="B19" s="4" t="s">
        <v>154</v>
      </c>
      <c r="C19" s="5" t="s">
        <v>107</v>
      </c>
      <c r="D19" s="5" t="s">
        <v>155</v>
      </c>
      <c r="E19" s="7" t="s">
        <v>156</v>
      </c>
      <c r="F19" s="32">
        <v>1115471.1475</v>
      </c>
      <c r="G19" s="32">
        <v>401721.62</v>
      </c>
      <c r="H19" s="32">
        <v>1554943.8149999999</v>
      </c>
      <c r="I19" s="32">
        <v>1323956.1775</v>
      </c>
      <c r="J19" s="32">
        <v>650447.96499999997</v>
      </c>
      <c r="K19" s="32">
        <v>99626.772500000006</v>
      </c>
      <c r="L19" s="32">
        <v>654476.1875</v>
      </c>
      <c r="M19" s="32">
        <v>2221524.0975000001</v>
      </c>
      <c r="N19" s="32">
        <v>1108501.4750000001</v>
      </c>
      <c r="O19" s="32">
        <v>2558363.7625000002</v>
      </c>
      <c r="P19" s="32">
        <v>1413160.0475000001</v>
      </c>
      <c r="Q19" s="32">
        <v>1034597.0775</v>
      </c>
      <c r="R19" s="32">
        <v>482321.77250000002</v>
      </c>
      <c r="S19" s="32">
        <v>3764508.37</v>
      </c>
      <c r="T19" s="32">
        <v>309685.38</v>
      </c>
      <c r="U19" s="32">
        <v>382639.38750000001</v>
      </c>
      <c r="V19" s="77">
        <v>3134444.5825</v>
      </c>
      <c r="W19" s="32">
        <v>1302330.1025</v>
      </c>
      <c r="X19" s="99"/>
      <c r="Y19" s="33">
        <f>SUM(F19:W19)</f>
        <v>23512719.739999998</v>
      </c>
      <c r="Z19" s="110" t="s">
        <v>157</v>
      </c>
    </row>
    <row r="20" spans="1:26" ht="49.2" thickBot="1" x14ac:dyDescent="0.35">
      <c r="A20" s="281"/>
      <c r="B20" s="4" t="s">
        <v>158</v>
      </c>
      <c r="C20" s="5" t="s">
        <v>107</v>
      </c>
      <c r="D20" s="6" t="s">
        <v>159</v>
      </c>
      <c r="E20" s="7" t="s">
        <v>160</v>
      </c>
      <c r="F20" s="34">
        <v>519.17171717171721</v>
      </c>
      <c r="G20" s="34">
        <v>588.83333333333337</v>
      </c>
      <c r="H20" s="34">
        <v>645.375</v>
      </c>
      <c r="I20" s="34">
        <v>730.15294117647056</v>
      </c>
      <c r="J20" s="34">
        <v>463.19230769230768</v>
      </c>
      <c r="K20" s="34">
        <v>450.83333333333331</v>
      </c>
      <c r="L20" s="34">
        <v>469.468085106383</v>
      </c>
      <c r="M20" s="34">
        <v>731.23966942148763</v>
      </c>
      <c r="N20" s="34">
        <v>429.07228915662648</v>
      </c>
      <c r="O20" s="34">
        <v>583.47528517110266</v>
      </c>
      <c r="P20" s="34">
        <v>498.1159420289855</v>
      </c>
      <c r="Q20" s="34">
        <v>616.63855421686742</v>
      </c>
      <c r="R20" s="34">
        <v>360.71428571428572</v>
      </c>
      <c r="S20" s="34">
        <v>328.71003717472121</v>
      </c>
      <c r="T20" s="34">
        <v>463.83870967741933</v>
      </c>
      <c r="U20" s="34">
        <v>478.24193548387098</v>
      </c>
      <c r="V20" s="79">
        <v>708.47852760736191</v>
      </c>
      <c r="W20" s="34">
        <v>626.94520547945206</v>
      </c>
      <c r="X20" s="100"/>
      <c r="Y20" s="35">
        <f>AVERAGE(F20:W20)</f>
        <v>538.47206438587375</v>
      </c>
      <c r="Z20" s="110" t="s">
        <v>161</v>
      </c>
    </row>
    <row r="21" spans="1:26" ht="47.4" thickBot="1" x14ac:dyDescent="0.35">
      <c r="A21" s="282"/>
      <c r="B21" s="4" t="s">
        <v>162</v>
      </c>
      <c r="C21" s="5" t="s">
        <v>107</v>
      </c>
      <c r="D21" s="5" t="s">
        <v>163</v>
      </c>
      <c r="E21" s="7" t="s">
        <v>164</v>
      </c>
      <c r="F21" s="34">
        <v>519.95959595959596</v>
      </c>
      <c r="G21" s="34">
        <v>591.29166666666663</v>
      </c>
      <c r="H21" s="34">
        <v>647.50961538461536</v>
      </c>
      <c r="I21" s="34">
        <v>733.55882352941171</v>
      </c>
      <c r="J21" s="34">
        <v>463.46153846153845</v>
      </c>
      <c r="K21" s="34">
        <v>452</v>
      </c>
      <c r="L21" s="34">
        <v>470.17021276595744</v>
      </c>
      <c r="M21" s="34">
        <v>731.80165289256195</v>
      </c>
      <c r="N21" s="34">
        <v>429.57831325301203</v>
      </c>
      <c r="O21" s="34">
        <v>584.0836501901141</v>
      </c>
      <c r="P21" s="34">
        <v>498.71014492753625</v>
      </c>
      <c r="Q21" s="34">
        <v>616.92771084337346</v>
      </c>
      <c r="R21" s="34">
        <v>361.26530612244898</v>
      </c>
      <c r="S21" s="34">
        <v>329.42007434944236</v>
      </c>
      <c r="T21" s="34">
        <v>463.93548387096774</v>
      </c>
      <c r="U21" s="34">
        <v>478.30645161290323</v>
      </c>
      <c r="V21" s="79">
        <v>710.03680981595096</v>
      </c>
      <c r="W21" s="34">
        <v>628.13698630136992</v>
      </c>
      <c r="X21" s="100"/>
      <c r="Y21" s="35">
        <f>AVERAGE(F21:W21)</f>
        <v>539.45300205263698</v>
      </c>
      <c r="Z21" s="110" t="s">
        <v>165</v>
      </c>
    </row>
    <row r="22" spans="1:26" ht="16.2" thickBot="1" x14ac:dyDescent="0.35">
      <c r="A22" s="23"/>
      <c r="B22" s="13"/>
      <c r="C22" s="13"/>
      <c r="D22" s="13"/>
      <c r="E22" s="13"/>
      <c r="F22" s="13"/>
      <c r="G22" s="13"/>
      <c r="H22" s="13"/>
      <c r="I22" s="13"/>
      <c r="J22" s="13"/>
      <c r="K22" s="13"/>
      <c r="L22" s="13"/>
      <c r="M22" s="13"/>
      <c r="N22" s="13"/>
      <c r="O22" s="13"/>
      <c r="P22" s="13"/>
      <c r="Q22" s="13"/>
      <c r="R22" s="13"/>
      <c r="S22" s="13"/>
      <c r="T22" s="13"/>
      <c r="U22" s="13"/>
      <c r="V22" s="13"/>
      <c r="W22" s="13"/>
      <c r="X22" s="13"/>
      <c r="Y22" s="13"/>
      <c r="Z22" s="111"/>
    </row>
    <row r="23" spans="1:26" s="72" customFormat="1" ht="69.599999999999994" thickBot="1" x14ac:dyDescent="0.4">
      <c r="A23" s="280" t="s">
        <v>166</v>
      </c>
      <c r="B23" s="93" t="s">
        <v>124</v>
      </c>
      <c r="C23" s="94" t="s">
        <v>112</v>
      </c>
      <c r="D23" s="94" t="s">
        <v>167</v>
      </c>
      <c r="E23" s="95" t="s">
        <v>168</v>
      </c>
      <c r="F23" s="96">
        <v>3723484.0629073055</v>
      </c>
      <c r="G23" s="96">
        <v>4341885.6898353994</v>
      </c>
      <c r="H23" s="96">
        <v>3897125.7575288694</v>
      </c>
      <c r="I23" s="96">
        <v>3762681.8305052062</v>
      </c>
      <c r="J23" s="96">
        <v>3872299.484331409</v>
      </c>
      <c r="K23" s="96">
        <v>3819849.5201244676</v>
      </c>
      <c r="L23" s="96">
        <v>3867078.1987549635</v>
      </c>
      <c r="M23" s="96">
        <v>4744102.945507165</v>
      </c>
      <c r="N23" s="96">
        <v>2605708.051929553</v>
      </c>
      <c r="O23" s="96">
        <v>4928771.5187058002</v>
      </c>
      <c r="P23" s="96">
        <v>3448902.1301457267</v>
      </c>
      <c r="Q23" s="96">
        <v>3943845.7741223308</v>
      </c>
      <c r="R23" s="96">
        <v>3586911.7159162285</v>
      </c>
      <c r="S23" s="96">
        <v>4545186.4875621879</v>
      </c>
      <c r="T23" s="96">
        <v>3622372.5254061832</v>
      </c>
      <c r="U23" s="96">
        <v>2797256.1475464604</v>
      </c>
      <c r="V23" s="71">
        <v>5275673.5963437688</v>
      </c>
      <c r="W23" s="96">
        <v>7430952.7245799005</v>
      </c>
      <c r="X23" s="98"/>
      <c r="Y23" s="71">
        <v>3871135.0292156739</v>
      </c>
      <c r="Z23" s="107" t="s">
        <v>169</v>
      </c>
    </row>
    <row r="24" spans="1:26" ht="63" thickBot="1" x14ac:dyDescent="0.35">
      <c r="A24" s="281"/>
      <c r="B24" s="4" t="s">
        <v>170</v>
      </c>
      <c r="C24" s="5" t="s">
        <v>112</v>
      </c>
      <c r="D24" s="5" t="s">
        <v>171</v>
      </c>
      <c r="E24" s="7" t="s">
        <v>172</v>
      </c>
      <c r="F24" s="235">
        <f>F26/F25</f>
        <v>30.024390243902438</v>
      </c>
      <c r="G24" s="235">
        <f t="shared" ref="G24:U24" si="4">G26/G25</f>
        <v>32.454545454545453</v>
      </c>
      <c r="H24" s="235">
        <f t="shared" si="4"/>
        <v>71.693548387096769</v>
      </c>
      <c r="I24" s="235">
        <f t="shared" si="4"/>
        <v>66.432432432432435</v>
      </c>
      <c r="J24" s="235">
        <f t="shared" si="4"/>
        <v>95.266666666666666</v>
      </c>
      <c r="K24" s="235">
        <f t="shared" si="4"/>
        <v>64.361111111111114</v>
      </c>
      <c r="L24" s="235">
        <f t="shared" si="4"/>
        <v>81.578947368421055</v>
      </c>
      <c r="M24" s="235">
        <f t="shared" si="4"/>
        <v>36.069767441860463</v>
      </c>
      <c r="N24" s="235">
        <f t="shared" si="4"/>
        <v>28.630434782608695</v>
      </c>
      <c r="O24" s="235">
        <f t="shared" si="4"/>
        <v>63.3</v>
      </c>
      <c r="P24" s="235">
        <f t="shared" si="4"/>
        <v>71.410891089108915</v>
      </c>
      <c r="Q24" s="235">
        <f t="shared" si="4"/>
        <v>69.5625</v>
      </c>
      <c r="R24" s="235">
        <f t="shared" si="4"/>
        <v>37.672131147540981</v>
      </c>
      <c r="S24" s="235">
        <f t="shared" si="4"/>
        <v>33.799999999999997</v>
      </c>
      <c r="T24" s="235">
        <f t="shared" si="4"/>
        <v>73.426229508196727</v>
      </c>
      <c r="U24" s="235">
        <f t="shared" si="4"/>
        <v>65.611764705882351</v>
      </c>
      <c r="V24" s="235">
        <f>V26/V25</f>
        <v>56.605504587155963</v>
      </c>
      <c r="W24" s="235">
        <f>W26/W25</f>
        <v>91.183333333333337</v>
      </c>
      <c r="X24" s="97"/>
      <c r="Y24" s="35">
        <f>SUMPRODUCT(F24:W24,F25:W25)/SUM(F25:W25)</f>
        <v>58.779527559055119</v>
      </c>
      <c r="Z24" s="110" t="s">
        <v>173</v>
      </c>
    </row>
    <row r="25" spans="1:26" ht="63" thickBot="1" x14ac:dyDescent="0.35">
      <c r="A25" s="281"/>
      <c r="B25" s="4" t="s">
        <v>174</v>
      </c>
      <c r="C25" s="5" t="s">
        <v>112</v>
      </c>
      <c r="D25" s="5" t="s">
        <v>175</v>
      </c>
      <c r="E25" s="7" t="s">
        <v>176</v>
      </c>
      <c r="F25" s="235">
        <v>10.25</v>
      </c>
      <c r="G25" s="235">
        <v>2.75</v>
      </c>
      <c r="H25" s="235">
        <v>15.5</v>
      </c>
      <c r="I25" s="235">
        <v>18.5</v>
      </c>
      <c r="J25" s="235">
        <v>3.75</v>
      </c>
      <c r="K25" s="235">
        <v>9</v>
      </c>
      <c r="L25" s="235">
        <v>14.25</v>
      </c>
      <c r="M25" s="235">
        <v>10.75</v>
      </c>
      <c r="N25" s="235">
        <v>46</v>
      </c>
      <c r="O25" s="235">
        <v>17.5</v>
      </c>
      <c r="P25" s="235">
        <v>50.5</v>
      </c>
      <c r="Q25" s="235">
        <v>16</v>
      </c>
      <c r="R25" s="235">
        <v>15.25</v>
      </c>
      <c r="S25" s="235">
        <v>8.75</v>
      </c>
      <c r="T25" s="235">
        <v>15.25</v>
      </c>
      <c r="U25" s="235">
        <v>21.25</v>
      </c>
      <c r="V25" s="235">
        <v>27.25</v>
      </c>
      <c r="W25" s="235">
        <v>15</v>
      </c>
      <c r="X25" s="97"/>
      <c r="Y25" s="35">
        <f>SUM(F25:W25)</f>
        <v>317.5</v>
      </c>
      <c r="Z25" s="112" t="s">
        <v>177</v>
      </c>
    </row>
    <row r="26" spans="1:26" ht="63" thickBot="1" x14ac:dyDescent="0.35">
      <c r="A26" s="281"/>
      <c r="B26" s="4" t="s">
        <v>178</v>
      </c>
      <c r="C26" s="5" t="s">
        <v>112</v>
      </c>
      <c r="D26" s="5" t="s">
        <v>179</v>
      </c>
      <c r="E26" s="7" t="s">
        <v>180</v>
      </c>
      <c r="F26" s="235">
        <v>307.75</v>
      </c>
      <c r="G26" s="235">
        <v>89.25</v>
      </c>
      <c r="H26" s="235">
        <v>1111.25</v>
      </c>
      <c r="I26" s="235">
        <v>1229</v>
      </c>
      <c r="J26" s="235">
        <v>357.25</v>
      </c>
      <c r="K26" s="235">
        <v>579.25</v>
      </c>
      <c r="L26" s="235">
        <v>1162.5</v>
      </c>
      <c r="M26" s="235">
        <v>387.75</v>
      </c>
      <c r="N26" s="235">
        <v>1317</v>
      </c>
      <c r="O26" s="235">
        <v>1107.75</v>
      </c>
      <c r="P26" s="235">
        <v>3606.25</v>
      </c>
      <c r="Q26" s="235">
        <v>1113</v>
      </c>
      <c r="R26" s="235">
        <v>574.5</v>
      </c>
      <c r="S26" s="235">
        <v>295.75</v>
      </c>
      <c r="T26" s="235">
        <v>1119.75</v>
      </c>
      <c r="U26" s="235">
        <v>1394.25</v>
      </c>
      <c r="V26" s="235">
        <v>1542.5</v>
      </c>
      <c r="W26" s="235">
        <v>1367.75</v>
      </c>
      <c r="X26" s="97"/>
      <c r="Y26" s="241">
        <f>SUM(F26:W26)</f>
        <v>18662.5</v>
      </c>
      <c r="Z26" s="112" t="s">
        <v>181</v>
      </c>
    </row>
    <row r="27" spans="1:26" ht="63" thickBot="1" x14ac:dyDescent="0.35">
      <c r="A27" s="281"/>
      <c r="B27" s="4" t="s">
        <v>182</v>
      </c>
      <c r="C27" s="5" t="s">
        <v>112</v>
      </c>
      <c r="D27" s="5" t="s">
        <v>183</v>
      </c>
      <c r="E27" s="7" t="s">
        <v>184</v>
      </c>
      <c r="F27" s="235">
        <v>4.061410984848485</v>
      </c>
      <c r="G27" s="235">
        <v>1.1650094696969697</v>
      </c>
      <c r="H27" s="235">
        <v>9.914488636363636</v>
      </c>
      <c r="I27" s="235">
        <v>11.198721590909091</v>
      </c>
      <c r="J27" s="235">
        <v>2.9191287878787877</v>
      </c>
      <c r="K27" s="235">
        <v>4.8996685606060604</v>
      </c>
      <c r="L27" s="235">
        <v>10.625520833333333</v>
      </c>
      <c r="M27" s="235">
        <v>4.3519412878787875</v>
      </c>
      <c r="N27" s="235">
        <v>16.114488636363635</v>
      </c>
      <c r="O27" s="235">
        <v>8.1482481060606062</v>
      </c>
      <c r="P27" s="235">
        <v>31.022916666666667</v>
      </c>
      <c r="Q27" s="235">
        <v>8.6087594696969703</v>
      </c>
      <c r="R27" s="235">
        <v>5.5638731060606057</v>
      </c>
      <c r="S27" s="235">
        <v>2.5125000000000002</v>
      </c>
      <c r="T27" s="235">
        <v>10.263920454545454</v>
      </c>
      <c r="U27" s="235">
        <v>13.521164772727273</v>
      </c>
      <c r="V27" s="235">
        <v>10.919507575757576</v>
      </c>
      <c r="W27" s="235">
        <v>6.5652462121212123</v>
      </c>
      <c r="X27" s="97"/>
      <c r="Y27" s="35">
        <f>SUM(F27:W27)</f>
        <v>162.37651515151515</v>
      </c>
      <c r="Z27" s="112" t="s">
        <v>185</v>
      </c>
    </row>
    <row r="28" spans="1:26" ht="63" thickBot="1" x14ac:dyDescent="0.35">
      <c r="A28" s="281"/>
      <c r="B28" s="4" t="s">
        <v>186</v>
      </c>
      <c r="C28" s="5" t="s">
        <v>112</v>
      </c>
      <c r="D28" s="5" t="s">
        <v>187</v>
      </c>
      <c r="E28" s="7" t="s">
        <v>188</v>
      </c>
      <c r="F28" s="235">
        <v>3.1341077582859849</v>
      </c>
      <c r="G28" s="235">
        <v>0.67673345530303031</v>
      </c>
      <c r="H28" s="235">
        <v>10.273330165388256</v>
      </c>
      <c r="I28" s="235">
        <v>12.664336337405301</v>
      </c>
      <c r="J28" s="235">
        <v>3.3440042505681813</v>
      </c>
      <c r="K28" s="235">
        <v>8.2230700076231056</v>
      </c>
      <c r="L28" s="235">
        <v>10.26979849872159</v>
      </c>
      <c r="M28" s="235">
        <v>3.8012100563446976</v>
      </c>
      <c r="N28" s="235">
        <v>10.012144754498106</v>
      </c>
      <c r="O28" s="235">
        <v>8.6701487162878816</v>
      </c>
      <c r="P28" s="235">
        <v>32.050992598579541</v>
      </c>
      <c r="Q28" s="235">
        <v>9.23510945345644</v>
      </c>
      <c r="R28" s="235">
        <v>5.2375659538825765</v>
      </c>
      <c r="S28" s="235">
        <v>3.3111860690340915</v>
      </c>
      <c r="T28" s="235">
        <v>11.493856291666665</v>
      </c>
      <c r="U28" s="235">
        <v>14.686623951562503</v>
      </c>
      <c r="V28" s="235">
        <v>11.976525709469698</v>
      </c>
      <c r="W28" s="235">
        <v>8.8122839179450754</v>
      </c>
      <c r="X28" s="97"/>
      <c r="Y28" s="35">
        <f>SUM(F28:W28)</f>
        <v>167.87302794602272</v>
      </c>
      <c r="Z28" s="112" t="s">
        <v>189</v>
      </c>
    </row>
    <row r="29" spans="1:26" ht="97.2" thickBot="1" x14ac:dyDescent="0.35">
      <c r="A29" s="281"/>
      <c r="B29" s="4" t="s">
        <v>190</v>
      </c>
      <c r="C29" s="5" t="s">
        <v>112</v>
      </c>
      <c r="D29" s="5" t="s">
        <v>191</v>
      </c>
      <c r="E29" s="7" t="s">
        <v>192</v>
      </c>
      <c r="F29" s="32">
        <f>SUM(F31,F32,F33,F34)</f>
        <v>15122599.074999997</v>
      </c>
      <c r="G29" s="32">
        <f t="shared" ref="G29:Y29" si="5">SUM(G31,G32,G33,G34)</f>
        <v>5058337.9450000003</v>
      </c>
      <c r="H29" s="32">
        <f t="shared" si="5"/>
        <v>38638009.037500001</v>
      </c>
      <c r="I29" s="32">
        <f t="shared" si="5"/>
        <v>42137226.254999995</v>
      </c>
      <c r="J29" s="32">
        <f t="shared" si="5"/>
        <v>11303740.9</v>
      </c>
      <c r="K29" s="32">
        <f t="shared" si="5"/>
        <v>18715996.600000001</v>
      </c>
      <c r="L29" s="32">
        <f t="shared" si="5"/>
        <v>41089719.965000004</v>
      </c>
      <c r="M29" s="32">
        <f t="shared" si="5"/>
        <v>20646057.482500002</v>
      </c>
      <c r="N29" s="32">
        <f t="shared" si="5"/>
        <v>41989652.792500004</v>
      </c>
      <c r="O29" s="32">
        <f t="shared" si="5"/>
        <v>40160853.192499995</v>
      </c>
      <c r="P29" s="32">
        <f t="shared" si="5"/>
        <v>106995003.37500003</v>
      </c>
      <c r="Q29" s="32">
        <f t="shared" si="5"/>
        <v>33951619.654999994</v>
      </c>
      <c r="R29" s="32">
        <f t="shared" si="5"/>
        <v>19957121.630000003</v>
      </c>
      <c r="S29" s="32">
        <f t="shared" si="5"/>
        <v>11419781.049999997</v>
      </c>
      <c r="T29" s="32">
        <f t="shared" si="5"/>
        <v>37179743.457499996</v>
      </c>
      <c r="U29" s="32">
        <f t="shared" si="5"/>
        <v>37822161.282500006</v>
      </c>
      <c r="V29" s="32">
        <f>SUM(V31,V32,V33,V34)</f>
        <v>57607757.802500002</v>
      </c>
      <c r="W29" s="32">
        <f>SUM(W31,W32,W33,W34)</f>
        <v>48786034.227499992</v>
      </c>
      <c r="X29" s="39">
        <f t="shared" si="5"/>
        <v>1041634.7475000001</v>
      </c>
      <c r="Y29" s="33">
        <f t="shared" si="5"/>
        <v>628581415.72500014</v>
      </c>
      <c r="Z29" s="110" t="s">
        <v>193</v>
      </c>
    </row>
    <row r="30" spans="1:26" ht="63" thickBot="1" x14ac:dyDescent="0.35">
      <c r="A30" s="281"/>
      <c r="B30" s="4" t="s">
        <v>194</v>
      </c>
      <c r="C30" s="5" t="s">
        <v>112</v>
      </c>
      <c r="D30" s="5" t="s">
        <v>195</v>
      </c>
      <c r="E30" s="13"/>
      <c r="F30" s="13"/>
      <c r="G30" s="13"/>
      <c r="H30" s="13"/>
      <c r="I30" s="13"/>
      <c r="J30" s="13"/>
      <c r="K30" s="13"/>
      <c r="L30" s="13"/>
      <c r="M30" s="13"/>
      <c r="N30" s="13"/>
      <c r="O30" s="13"/>
      <c r="P30" s="13"/>
      <c r="Q30" s="13"/>
      <c r="R30" s="13"/>
      <c r="S30" s="13"/>
      <c r="T30" s="13"/>
      <c r="U30" s="13"/>
      <c r="V30" s="13"/>
      <c r="W30" s="13"/>
      <c r="X30" s="13"/>
      <c r="Y30" s="13"/>
      <c r="Z30" s="118"/>
    </row>
    <row r="31" spans="1:26" ht="97.2" thickBot="1" x14ac:dyDescent="0.35">
      <c r="A31" s="281"/>
      <c r="B31" s="4" t="s">
        <v>196</v>
      </c>
      <c r="C31" s="5" t="s">
        <v>112</v>
      </c>
      <c r="D31" s="5" t="s">
        <v>197</v>
      </c>
      <c r="E31" s="5" t="s">
        <v>198</v>
      </c>
      <c r="F31" s="41">
        <v>4114449.5074999989</v>
      </c>
      <c r="G31" s="41">
        <v>870484.85500000021</v>
      </c>
      <c r="H31" s="41">
        <v>13420534.355</v>
      </c>
      <c r="I31" s="41">
        <v>16202687.179999998</v>
      </c>
      <c r="J31" s="41">
        <v>2875968.6425000001</v>
      </c>
      <c r="K31" s="41">
        <v>7890640.5675000027</v>
      </c>
      <c r="L31" s="41">
        <v>6989991.9474999998</v>
      </c>
      <c r="M31" s="41">
        <v>4933758.1749999998</v>
      </c>
      <c r="N31" s="41">
        <v>8202178.3775000023</v>
      </c>
      <c r="O31" s="41">
        <v>10877368.209999997</v>
      </c>
      <c r="P31" s="41">
        <v>20870347.277499996</v>
      </c>
      <c r="Q31" s="41">
        <v>6732343.5650000004</v>
      </c>
      <c r="R31" s="32">
        <v>7714005.6900000023</v>
      </c>
      <c r="S31" s="32">
        <v>3400049.3225000012</v>
      </c>
      <c r="T31" s="32">
        <v>11044612.275</v>
      </c>
      <c r="U31" s="32">
        <v>11840299.147500001</v>
      </c>
      <c r="V31" s="41">
        <v>13190606.532499999</v>
      </c>
      <c r="W31" s="41">
        <v>20194868.1525</v>
      </c>
      <c r="X31" s="39">
        <v>436.185</v>
      </c>
      <c r="Y31" s="33">
        <f>SUM(F31:W31)</f>
        <v>171365193.78</v>
      </c>
      <c r="Z31" s="110" t="s">
        <v>199</v>
      </c>
    </row>
    <row r="32" spans="1:26" ht="97.2" thickBot="1" x14ac:dyDescent="0.35">
      <c r="A32" s="281"/>
      <c r="B32" s="4" t="s">
        <v>200</v>
      </c>
      <c r="C32" s="5" t="s">
        <v>112</v>
      </c>
      <c r="D32" s="5" t="s">
        <v>201</v>
      </c>
      <c r="E32" s="5" t="s">
        <v>202</v>
      </c>
      <c r="F32" s="41">
        <v>9134681.5350000001</v>
      </c>
      <c r="G32" s="41">
        <v>3779402.8724999996</v>
      </c>
      <c r="H32" s="41">
        <v>19029262.080000002</v>
      </c>
      <c r="I32" s="41">
        <v>19219183.290000003</v>
      </c>
      <c r="J32" s="41">
        <v>7039537.1875</v>
      </c>
      <c r="K32" s="41">
        <v>7691634.7049999991</v>
      </c>
      <c r="L32" s="41">
        <v>30152112.357500002</v>
      </c>
      <c r="M32" s="41">
        <v>13073030.370000003</v>
      </c>
      <c r="N32" s="41">
        <v>32133535.227499999</v>
      </c>
      <c r="O32" s="41">
        <v>24090923.369999997</v>
      </c>
      <c r="P32" s="41">
        <v>75624357.667500019</v>
      </c>
      <c r="Q32" s="41">
        <v>24007644.904999994</v>
      </c>
      <c r="R32" s="32">
        <v>8985681.5250000022</v>
      </c>
      <c r="S32" s="32">
        <v>6544499.8999999976</v>
      </c>
      <c r="T32" s="32">
        <v>21367376.304999996</v>
      </c>
      <c r="U32" s="32">
        <v>20740611.300000001</v>
      </c>
      <c r="V32" s="41">
        <v>38161536.252499998</v>
      </c>
      <c r="W32" s="41">
        <v>18989655.2425</v>
      </c>
      <c r="X32" s="39">
        <v>1013988.25</v>
      </c>
      <c r="Y32" s="33">
        <f>SUM(F32:W32)</f>
        <v>379764666.09250003</v>
      </c>
      <c r="Z32" s="110" t="s">
        <v>203</v>
      </c>
    </row>
    <row r="33" spans="1:26" ht="97.2" thickBot="1" x14ac:dyDescent="0.35">
      <c r="A33" s="281"/>
      <c r="B33" s="4" t="s">
        <v>204</v>
      </c>
      <c r="C33" s="5" t="s">
        <v>112</v>
      </c>
      <c r="D33" s="5" t="s">
        <v>205</v>
      </c>
      <c r="E33" s="5" t="s">
        <v>206</v>
      </c>
      <c r="F33" s="41">
        <v>379450.12000000005</v>
      </c>
      <c r="G33" s="41">
        <v>121186.85249999998</v>
      </c>
      <c r="H33" s="41">
        <v>1037141.15</v>
      </c>
      <c r="I33" s="41">
        <v>1164743.4324999999</v>
      </c>
      <c r="J33" s="41">
        <v>284647.92749999999</v>
      </c>
      <c r="K33" s="41">
        <v>692023.36250000005</v>
      </c>
      <c r="L33" s="41">
        <v>998842.82000000007</v>
      </c>
      <c r="M33" s="41">
        <v>452671.93750000006</v>
      </c>
      <c r="N33" s="41">
        <v>1120601.5999999999</v>
      </c>
      <c r="O33" s="41">
        <v>810685.60249999992</v>
      </c>
      <c r="P33" s="41">
        <v>2392231.1824999996</v>
      </c>
      <c r="Q33" s="41">
        <v>717893.59</v>
      </c>
      <c r="R33" s="32">
        <v>584125.05250000011</v>
      </c>
      <c r="S33" s="32">
        <v>178595.63499999998</v>
      </c>
      <c r="T33" s="32">
        <v>1056295.2275000003</v>
      </c>
      <c r="U33" s="32">
        <v>1120759.2825</v>
      </c>
      <c r="V33" s="41">
        <v>1394721.6775000005</v>
      </c>
      <c r="W33" s="41">
        <v>1130795.0024999999</v>
      </c>
      <c r="X33" s="39">
        <v>25034.325000000001</v>
      </c>
      <c r="Y33" s="33">
        <f>SUM(F33:W33)</f>
        <v>15637411.455</v>
      </c>
      <c r="Z33" s="110" t="s">
        <v>207</v>
      </c>
    </row>
    <row r="34" spans="1:26" ht="97.2" thickBot="1" x14ac:dyDescent="0.35">
      <c r="A34" s="281"/>
      <c r="B34" s="4" t="s">
        <v>208</v>
      </c>
      <c r="C34" s="5" t="s">
        <v>112</v>
      </c>
      <c r="D34" s="7" t="s">
        <v>209</v>
      </c>
      <c r="E34" s="7" t="s">
        <v>210</v>
      </c>
      <c r="F34" s="32">
        <v>1494017.9125000001</v>
      </c>
      <c r="G34" s="32">
        <v>287263.36499999999</v>
      </c>
      <c r="H34" s="32">
        <v>5151071.4525000006</v>
      </c>
      <c r="I34" s="32">
        <v>5550612.3525</v>
      </c>
      <c r="J34" s="32">
        <v>1103587.1424999998</v>
      </c>
      <c r="K34" s="32">
        <v>2441697.9649999994</v>
      </c>
      <c r="L34" s="32">
        <v>2948772.8400000003</v>
      </c>
      <c r="M34" s="32">
        <v>2186596.9999999995</v>
      </c>
      <c r="N34" s="32">
        <v>533337.58750000037</v>
      </c>
      <c r="O34" s="32">
        <v>4381876.0100000007</v>
      </c>
      <c r="P34" s="32">
        <v>8108067.2474999996</v>
      </c>
      <c r="Q34" s="32">
        <v>2493737.5950000002</v>
      </c>
      <c r="R34" s="32">
        <v>2673309.3624999998</v>
      </c>
      <c r="S34" s="32">
        <v>1296636.1924999999</v>
      </c>
      <c r="T34" s="32">
        <v>3711459.65</v>
      </c>
      <c r="U34" s="32">
        <v>4120491.5525000002</v>
      </c>
      <c r="V34" s="32">
        <v>4860893.3400000008</v>
      </c>
      <c r="W34" s="32">
        <v>8470715.8300000001</v>
      </c>
      <c r="X34" s="39">
        <v>2175.9874999999997</v>
      </c>
      <c r="Y34" s="33">
        <f>SUM(F34:W34)</f>
        <v>61814144.397500001</v>
      </c>
      <c r="Z34" s="110" t="s">
        <v>211</v>
      </c>
    </row>
    <row r="35" spans="1:26" ht="63" thickBot="1" x14ac:dyDescent="0.35">
      <c r="A35" s="282"/>
      <c r="B35" s="4" t="s">
        <v>212</v>
      </c>
      <c r="C35" s="5" t="s">
        <v>112</v>
      </c>
      <c r="D35" s="6" t="s">
        <v>213</v>
      </c>
      <c r="E35" s="7" t="s">
        <v>214</v>
      </c>
      <c r="F35" s="42">
        <v>1005.575</v>
      </c>
      <c r="G35" s="42">
        <v>1078.7272727272727</v>
      </c>
      <c r="H35" s="42">
        <v>1310.983870967742</v>
      </c>
      <c r="I35" s="42">
        <v>827.56164383561645</v>
      </c>
      <c r="J35" s="42">
        <v>787.4666666666667</v>
      </c>
      <c r="K35" s="42">
        <v>552.69444444444446</v>
      </c>
      <c r="L35" s="42">
        <v>1311.6315789473683</v>
      </c>
      <c r="M35" s="42">
        <v>1454.3023255813953</v>
      </c>
      <c r="N35" s="42">
        <v>747.4454545454546</v>
      </c>
      <c r="O35" s="42">
        <v>1236.8823529411766</v>
      </c>
      <c r="P35" s="42">
        <v>793.87244897959181</v>
      </c>
      <c r="Q35" s="42">
        <v>1220.3548387096773</v>
      </c>
      <c r="R35" s="42">
        <v>804.74576271186436</v>
      </c>
      <c r="S35" s="42">
        <v>1196.2941176470588</v>
      </c>
      <c r="T35" s="42">
        <v>857.49180327868851</v>
      </c>
      <c r="U35" s="42">
        <v>908.79761904761904</v>
      </c>
      <c r="V35" s="42">
        <v>1098.9333333333334</v>
      </c>
      <c r="W35" s="42">
        <v>1239.5</v>
      </c>
      <c r="X35" s="43"/>
      <c r="Y35" s="44">
        <f>AVERAGE(F35:W35)</f>
        <v>1024.0700296869427</v>
      </c>
      <c r="Z35" s="110" t="s">
        <v>215</v>
      </c>
    </row>
    <row r="36" spans="1:26" ht="16.2" thickBot="1" x14ac:dyDescent="0.35">
      <c r="D36" s="75"/>
      <c r="E36" s="8"/>
      <c r="F36" s="8"/>
      <c r="G36" s="8"/>
      <c r="H36" s="8"/>
      <c r="I36" s="8"/>
      <c r="J36" s="8"/>
      <c r="K36" s="8"/>
      <c r="L36" s="8"/>
      <c r="M36" s="8"/>
      <c r="N36" s="8"/>
      <c r="O36" s="8"/>
      <c r="P36" s="8"/>
      <c r="Q36" s="8"/>
      <c r="R36" s="8"/>
      <c r="W36" s="8"/>
    </row>
    <row r="37" spans="1:26" s="1" customFormat="1" ht="111" thickBot="1" x14ac:dyDescent="0.35">
      <c r="A37" s="275" t="s">
        <v>216</v>
      </c>
      <c r="B37" s="275" t="s">
        <v>217</v>
      </c>
      <c r="C37" s="91" t="s">
        <v>218</v>
      </c>
      <c r="D37" s="91" t="s">
        <v>219</v>
      </c>
      <c r="E37" s="15" t="s">
        <v>220</v>
      </c>
      <c r="F37" s="116">
        <v>653135770.21249998</v>
      </c>
      <c r="Z37" s="115" t="s">
        <v>221</v>
      </c>
    </row>
    <row r="38" spans="1:26" ht="16.2" thickBot="1" x14ac:dyDescent="0.35">
      <c r="B38" s="8"/>
      <c r="C38" s="8"/>
      <c r="D38" s="8"/>
      <c r="E38" s="8"/>
      <c r="F38" s="8"/>
      <c r="G38" s="8"/>
      <c r="H38" s="8"/>
      <c r="I38" s="8"/>
      <c r="J38" s="8"/>
      <c r="K38" s="8"/>
      <c r="L38" s="8"/>
      <c r="M38" s="8"/>
      <c r="N38" s="8"/>
      <c r="O38" s="8"/>
      <c r="P38" s="8"/>
      <c r="Q38" s="8"/>
      <c r="V38" s="8"/>
      <c r="W38" s="8"/>
    </row>
    <row r="39" spans="1:26" ht="63" thickBot="1" x14ac:dyDescent="0.35">
      <c r="A39" s="280" t="s">
        <v>222</v>
      </c>
      <c r="B39" s="2" t="s">
        <v>41</v>
      </c>
      <c r="C39" s="3" t="s">
        <v>83</v>
      </c>
      <c r="D39" s="3" t="s">
        <v>84</v>
      </c>
      <c r="E39" s="3" t="s">
        <v>53</v>
      </c>
      <c r="F39" s="82" t="s">
        <v>85</v>
      </c>
      <c r="G39" s="82" t="s">
        <v>223</v>
      </c>
      <c r="H39" s="82" t="s">
        <v>87</v>
      </c>
      <c r="I39" s="82" t="s">
        <v>88</v>
      </c>
      <c r="J39" s="82" t="s">
        <v>89</v>
      </c>
      <c r="K39" s="82" t="s">
        <v>90</v>
      </c>
      <c r="L39" s="82" t="s">
        <v>91</v>
      </c>
      <c r="M39" s="82" t="s">
        <v>92</v>
      </c>
      <c r="N39" s="82" t="s">
        <v>93</v>
      </c>
      <c r="O39" s="82" t="s">
        <v>94</v>
      </c>
      <c r="P39" s="82" t="s">
        <v>95</v>
      </c>
      <c r="Q39" s="82" t="s">
        <v>26</v>
      </c>
      <c r="R39" s="82" t="s">
        <v>96</v>
      </c>
      <c r="S39" s="82" t="s">
        <v>97</v>
      </c>
      <c r="T39" s="82" t="s">
        <v>98</v>
      </c>
      <c r="U39" s="82" t="s">
        <v>99</v>
      </c>
      <c r="V39" s="82" t="s">
        <v>100</v>
      </c>
      <c r="W39" s="82" t="s">
        <v>101</v>
      </c>
      <c r="X39" s="134"/>
      <c r="Y39" s="3" t="s">
        <v>103</v>
      </c>
      <c r="Z39" s="48" t="s">
        <v>104</v>
      </c>
    </row>
    <row r="40" spans="1:26" ht="97.2" thickBot="1" x14ac:dyDescent="0.35">
      <c r="A40" s="281"/>
      <c r="B40" s="4" t="s">
        <v>224</v>
      </c>
      <c r="C40" s="5" t="s">
        <v>128</v>
      </c>
      <c r="D40" s="6" t="s">
        <v>225</v>
      </c>
      <c r="E40" s="5" t="s">
        <v>226</v>
      </c>
      <c r="F40" s="57">
        <f t="shared" ref="F40:W40" si="6">IFERROR(F47/F45, 0)</f>
        <v>1201.4709452771422</v>
      </c>
      <c r="G40" s="57">
        <f t="shared" si="6"/>
        <v>804.30793554865454</v>
      </c>
      <c r="H40" s="57">
        <f t="shared" si="6"/>
        <v>969.39237816516084</v>
      </c>
      <c r="I40" s="57">
        <f t="shared" si="6"/>
        <v>589.52982515298652</v>
      </c>
      <c r="J40" s="57">
        <f t="shared" si="6"/>
        <v>0</v>
      </c>
      <c r="K40" s="57">
        <f t="shared" si="6"/>
        <v>486.0119751459236</v>
      </c>
      <c r="L40" s="57">
        <f t="shared" si="6"/>
        <v>266.00787154050749</v>
      </c>
      <c r="M40" s="57">
        <f t="shared" si="6"/>
        <v>1466.2484654799409</v>
      </c>
      <c r="N40" s="57">
        <f t="shared" si="6"/>
        <v>368.29269035367685</v>
      </c>
      <c r="O40" s="57">
        <f t="shared" si="6"/>
        <v>1788.0062892677074</v>
      </c>
      <c r="P40" s="57">
        <f t="shared" si="6"/>
        <v>745.17549571062489</v>
      </c>
      <c r="Q40" s="57">
        <f t="shared" si="6"/>
        <v>1073.1012226732589</v>
      </c>
      <c r="R40" s="57">
        <f t="shared" si="6"/>
        <v>1064.7705905101886</v>
      </c>
      <c r="S40" s="57">
        <f t="shared" si="6"/>
        <v>1210.7701230824835</v>
      </c>
      <c r="T40" s="57">
        <f t="shared" si="6"/>
        <v>17110.506804733726</v>
      </c>
      <c r="U40" s="57">
        <f t="shared" si="6"/>
        <v>1064.7482093227793</v>
      </c>
      <c r="V40" s="57">
        <f t="shared" si="6"/>
        <v>1018.8067444434981</v>
      </c>
      <c r="W40" s="57">
        <f t="shared" si="6"/>
        <v>0</v>
      </c>
      <c r="X40" s="134"/>
      <c r="Y40" s="49">
        <f>SUMPRODUCT(F40:W40, F44:W44) / SUM(F44:W44)</f>
        <v>1224.0715945640691</v>
      </c>
      <c r="Z40" s="112" t="s">
        <v>227</v>
      </c>
    </row>
    <row r="41" spans="1:26" ht="111" thickBot="1" x14ac:dyDescent="0.35">
      <c r="A41" s="281"/>
      <c r="B41" s="4" t="s">
        <v>228</v>
      </c>
      <c r="C41" s="5" t="s">
        <v>128</v>
      </c>
      <c r="D41" s="5" t="s">
        <v>229</v>
      </c>
      <c r="E41" s="5" t="s">
        <v>230</v>
      </c>
      <c r="F41" s="57">
        <f t="shared" ref="F41:W41" si="7">IFERROR(F47/F46, 0)</f>
        <v>897.85533996281436</v>
      </c>
      <c r="G41" s="57">
        <f t="shared" si="7"/>
        <v>554.82901461687607</v>
      </c>
      <c r="H41" s="57">
        <f t="shared" si="7"/>
        <v>681.92397959183654</v>
      </c>
      <c r="I41" s="57">
        <f t="shared" si="7"/>
        <v>457.69847860598287</v>
      </c>
      <c r="J41" s="57">
        <f t="shared" si="7"/>
        <v>0</v>
      </c>
      <c r="K41" s="57">
        <f t="shared" si="7"/>
        <v>399.10160725467921</v>
      </c>
      <c r="L41" s="57">
        <f t="shared" si="7"/>
        <v>548.43521308798552</v>
      </c>
      <c r="M41" s="57">
        <f t="shared" si="7"/>
        <v>1215.4612600367491</v>
      </c>
      <c r="N41" s="57">
        <f t="shared" si="7"/>
        <v>242.37634167774021</v>
      </c>
      <c r="O41" s="57">
        <f t="shared" si="7"/>
        <v>1301.5036501762063</v>
      </c>
      <c r="P41" s="57">
        <f t="shared" si="7"/>
        <v>579.08629015371832</v>
      </c>
      <c r="Q41" s="57">
        <f t="shared" si="7"/>
        <v>813.30009245374015</v>
      </c>
      <c r="R41" s="57">
        <f t="shared" si="7"/>
        <v>815.74089842058459</v>
      </c>
      <c r="S41" s="57">
        <f t="shared" si="7"/>
        <v>957.02511085717913</v>
      </c>
      <c r="T41" s="57">
        <f t="shared" si="7"/>
        <v>15381.253457446808</v>
      </c>
      <c r="U41" s="57">
        <f t="shared" si="7"/>
        <v>926.68303276178813</v>
      </c>
      <c r="V41" s="57">
        <f t="shared" si="7"/>
        <v>830.09122791809273</v>
      </c>
      <c r="W41" s="57">
        <f t="shared" si="7"/>
        <v>0</v>
      </c>
      <c r="X41" s="134"/>
      <c r="Y41" s="49">
        <f>SUMPRODUCT(F41:W41, F44:W44) / SUM(F44:W44)</f>
        <v>1005.906725303226</v>
      </c>
      <c r="Z41" s="112" t="s">
        <v>231</v>
      </c>
    </row>
    <row r="42" spans="1:26" ht="63" thickBot="1" x14ac:dyDescent="0.35">
      <c r="A42" s="281"/>
      <c r="B42" s="4" t="s">
        <v>232</v>
      </c>
      <c r="C42" s="5" t="s">
        <v>128</v>
      </c>
      <c r="D42" s="5" t="s">
        <v>233</v>
      </c>
      <c r="E42" s="7" t="s">
        <v>234</v>
      </c>
      <c r="F42" s="83">
        <f t="shared" ref="F42:W42" si="8">IFERROR(F45/F44, 0)</f>
        <v>2543.8205128205132</v>
      </c>
      <c r="G42" s="83">
        <f t="shared" si="8"/>
        <v>3585.1333333333332</v>
      </c>
      <c r="H42" s="83">
        <f t="shared" si="8"/>
        <v>2619.6666666666665</v>
      </c>
      <c r="I42" s="83">
        <f t="shared" si="8"/>
        <v>6896.871794871794</v>
      </c>
      <c r="J42" s="83">
        <f t="shared" si="8"/>
        <v>0</v>
      </c>
      <c r="K42" s="83">
        <f t="shared" si="8"/>
        <v>6638.75</v>
      </c>
      <c r="L42" s="83">
        <f t="shared" si="8"/>
        <v>10966.881249999997</v>
      </c>
      <c r="M42" s="83">
        <f t="shared" si="8"/>
        <v>2352.4107142857142</v>
      </c>
      <c r="N42" s="83">
        <f t="shared" si="8"/>
        <v>5117.666666666667</v>
      </c>
      <c r="O42" s="83">
        <f t="shared" si="8"/>
        <v>1761.370925684485</v>
      </c>
      <c r="P42" s="83">
        <f t="shared" si="8"/>
        <v>3340.2023809523812</v>
      </c>
      <c r="Q42" s="83">
        <f t="shared" si="8"/>
        <v>4121.8921212121213</v>
      </c>
      <c r="R42" s="83">
        <f t="shared" si="8"/>
        <v>2100.9375</v>
      </c>
      <c r="S42" s="83">
        <f t="shared" si="8"/>
        <v>2929.6470588235293</v>
      </c>
      <c r="T42" s="83">
        <f t="shared" si="8"/>
        <v>169</v>
      </c>
      <c r="U42" s="83">
        <f t="shared" si="8"/>
        <v>2842.5</v>
      </c>
      <c r="V42" s="83">
        <f t="shared" si="8"/>
        <v>3849.0944444444444</v>
      </c>
      <c r="W42" s="83">
        <f t="shared" si="8"/>
        <v>0</v>
      </c>
      <c r="X42" s="134"/>
      <c r="Y42" s="34">
        <f>SUMPRODUCT(F42:W42, F44:W44) / SUM(F44:W44)</f>
        <v>4091.5751853826905</v>
      </c>
      <c r="Z42" s="112" t="s">
        <v>235</v>
      </c>
    </row>
    <row r="43" spans="1:26" ht="63" thickBot="1" x14ac:dyDescent="0.35">
      <c r="A43" s="281"/>
      <c r="B43" s="4" t="s">
        <v>236</v>
      </c>
      <c r="C43" s="5" t="s">
        <v>128</v>
      </c>
      <c r="D43" s="5" t="s">
        <v>237</v>
      </c>
      <c r="E43" s="7" t="s">
        <v>238</v>
      </c>
      <c r="F43" s="242">
        <f t="shared" ref="F43:W43" si="9">IFERROR(F46/F44,0)</f>
        <v>3404.0299145299145</v>
      </c>
      <c r="G43" s="242">
        <f t="shared" si="9"/>
        <v>5197.1888888888889</v>
      </c>
      <c r="H43" s="242">
        <f t="shared" si="9"/>
        <v>3724</v>
      </c>
      <c r="I43" s="242">
        <f t="shared" si="9"/>
        <v>8883.3846153846152</v>
      </c>
      <c r="J43" s="242">
        <f t="shared" si="9"/>
        <v>0</v>
      </c>
      <c r="K43" s="242">
        <f t="shared" si="9"/>
        <v>8084.4375</v>
      </c>
      <c r="L43" s="242">
        <f t="shared" si="9"/>
        <v>5319.2732142857149</v>
      </c>
      <c r="M43" s="242">
        <f t="shared" si="9"/>
        <v>2837.7857142857142</v>
      </c>
      <c r="N43" s="242">
        <f t="shared" si="9"/>
        <v>7776.333333333333</v>
      </c>
      <c r="O43" s="242">
        <f t="shared" si="9"/>
        <v>2419.7721554071431</v>
      </c>
      <c r="P43" s="242">
        <f t="shared" si="9"/>
        <v>4298.2142857142862</v>
      </c>
      <c r="Q43" s="242">
        <f t="shared" si="9"/>
        <v>5438.5921212121211</v>
      </c>
      <c r="R43" s="242">
        <f t="shared" si="9"/>
        <v>2742.3125</v>
      </c>
      <c r="S43" s="242">
        <f t="shared" si="9"/>
        <v>3706.4117647058824</v>
      </c>
      <c r="T43" s="242">
        <f t="shared" si="9"/>
        <v>188</v>
      </c>
      <c r="U43" s="242">
        <f t="shared" si="9"/>
        <v>3266</v>
      </c>
      <c r="V43" s="242">
        <f t="shared" si="9"/>
        <v>4724.1595238095233</v>
      </c>
      <c r="W43" s="242">
        <f t="shared" si="9"/>
        <v>0</v>
      </c>
      <c r="X43" s="243"/>
      <c r="Y43" s="244">
        <f>SUMPRODUCT(F43:W43, F44:W44) / SUM(F44:W44)</f>
        <v>4292.3711391863026</v>
      </c>
      <c r="Z43" s="112" t="s">
        <v>235</v>
      </c>
    </row>
    <row r="44" spans="1:26" s="55" customFormat="1" ht="97.2" thickBot="1" x14ac:dyDescent="0.35">
      <c r="A44" s="281"/>
      <c r="B44" s="51" t="s">
        <v>239</v>
      </c>
      <c r="C44" s="52" t="s">
        <v>128</v>
      </c>
      <c r="D44" s="52" t="s">
        <v>240</v>
      </c>
      <c r="E44" s="52" t="s">
        <v>241</v>
      </c>
      <c r="F44" s="53">
        <v>3.25</v>
      </c>
      <c r="G44" s="53">
        <v>1.5</v>
      </c>
      <c r="H44" s="53">
        <v>0.5</v>
      </c>
      <c r="I44" s="53">
        <v>0.75</v>
      </c>
      <c r="J44" s="53">
        <v>0</v>
      </c>
      <c r="K44" s="53">
        <v>0.25</v>
      </c>
      <c r="L44" s="53">
        <v>2</v>
      </c>
      <c r="M44" s="53">
        <v>0.5</v>
      </c>
      <c r="N44" s="53">
        <v>0.5</v>
      </c>
      <c r="O44" s="53">
        <v>1.75</v>
      </c>
      <c r="P44" s="53">
        <v>1.5</v>
      </c>
      <c r="Q44" s="53">
        <v>0.5</v>
      </c>
      <c r="R44" s="53">
        <v>1</v>
      </c>
      <c r="S44" s="53">
        <v>0.5</v>
      </c>
      <c r="T44" s="53">
        <v>0.25</v>
      </c>
      <c r="U44" s="53">
        <v>0.5</v>
      </c>
      <c r="V44" s="53">
        <v>1</v>
      </c>
      <c r="W44" s="53">
        <v>0</v>
      </c>
      <c r="X44" s="134"/>
      <c r="Y44" s="53">
        <f>SUM(F44:W44)</f>
        <v>16.25</v>
      </c>
      <c r="Z44" s="112" t="s">
        <v>242</v>
      </c>
    </row>
    <row r="45" spans="1:26" ht="83.4" thickBot="1" x14ac:dyDescent="0.35">
      <c r="A45" s="281"/>
      <c r="B45" s="4" t="s">
        <v>243</v>
      </c>
      <c r="C45" s="5" t="s">
        <v>128</v>
      </c>
      <c r="D45" s="5" t="s">
        <v>244</v>
      </c>
      <c r="E45" s="7" t="s">
        <v>245</v>
      </c>
      <c r="F45" s="242">
        <v>8267.4166666666679</v>
      </c>
      <c r="G45" s="242">
        <v>5377.7</v>
      </c>
      <c r="H45" s="242">
        <v>1309.8333333333333</v>
      </c>
      <c r="I45" s="242">
        <v>5172.6538461538457</v>
      </c>
      <c r="J45" s="242">
        <v>0</v>
      </c>
      <c r="K45" s="242">
        <v>1659.6875</v>
      </c>
      <c r="L45" s="242">
        <v>21933.762499999993</v>
      </c>
      <c r="M45" s="242">
        <v>1176.2053571428571</v>
      </c>
      <c r="N45" s="242">
        <v>2558.8333333333335</v>
      </c>
      <c r="O45" s="242">
        <v>3082.3991199478487</v>
      </c>
      <c r="P45" s="242">
        <v>5010.3035714285716</v>
      </c>
      <c r="Q45" s="242">
        <v>2060.9460606060607</v>
      </c>
      <c r="R45" s="242">
        <v>2100.9375</v>
      </c>
      <c r="S45" s="242">
        <v>1464.8235294117646</v>
      </c>
      <c r="T45" s="242">
        <v>42.25</v>
      </c>
      <c r="U45" s="242">
        <v>1421.25</v>
      </c>
      <c r="V45" s="242">
        <v>3849.0944444444444</v>
      </c>
      <c r="W45" s="242">
        <v>0</v>
      </c>
      <c r="X45" s="243"/>
      <c r="Y45" s="244">
        <f>SUM(F45:W45)</f>
        <v>66488.096762468718</v>
      </c>
      <c r="Z45" s="112" t="s">
        <v>246</v>
      </c>
    </row>
    <row r="46" spans="1:26" ht="69.599999999999994" thickBot="1" x14ac:dyDescent="0.35">
      <c r="A46" s="281"/>
      <c r="B46" s="4" t="s">
        <v>247</v>
      </c>
      <c r="C46" s="5" t="s">
        <v>128</v>
      </c>
      <c r="D46" s="5" t="s">
        <v>248</v>
      </c>
      <c r="E46" s="7" t="s">
        <v>249</v>
      </c>
      <c r="F46" s="242">
        <v>11063.097222222223</v>
      </c>
      <c r="G46" s="242">
        <v>7795.7833333333338</v>
      </c>
      <c r="H46" s="242">
        <v>1862</v>
      </c>
      <c r="I46" s="242">
        <v>6662.5384615384619</v>
      </c>
      <c r="J46" s="242">
        <v>0</v>
      </c>
      <c r="K46" s="242">
        <v>2021.109375</v>
      </c>
      <c r="L46" s="242">
        <v>10638.54642857143</v>
      </c>
      <c r="M46" s="242">
        <v>1418.8928571428571</v>
      </c>
      <c r="N46" s="242">
        <v>3888.1666666666665</v>
      </c>
      <c r="O46" s="242">
        <v>4234.6012719625005</v>
      </c>
      <c r="P46" s="242">
        <v>6447.3214285714294</v>
      </c>
      <c r="Q46" s="242">
        <v>2719.2960606060606</v>
      </c>
      <c r="R46" s="242">
        <v>2742.3125</v>
      </c>
      <c r="S46" s="242">
        <v>1853.2058823529412</v>
      </c>
      <c r="T46" s="242">
        <v>47</v>
      </c>
      <c r="U46" s="242">
        <v>1633</v>
      </c>
      <c r="V46" s="242">
        <v>4724.1595238095233</v>
      </c>
      <c r="W46" s="242">
        <v>0</v>
      </c>
      <c r="X46" s="243"/>
      <c r="Y46" s="244">
        <f>SUM(F46:W46)</f>
        <v>69751.031011777421</v>
      </c>
      <c r="Z46" s="112" t="s">
        <v>250</v>
      </c>
    </row>
    <row r="47" spans="1:26" ht="83.4" thickBot="1" x14ac:dyDescent="0.35">
      <c r="A47" s="281"/>
      <c r="B47" s="4" t="s">
        <v>251</v>
      </c>
      <c r="C47" s="5" t="s">
        <v>128</v>
      </c>
      <c r="D47" s="5" t="s">
        <v>252</v>
      </c>
      <c r="E47" s="7" t="s">
        <v>253</v>
      </c>
      <c r="F47" s="57">
        <v>9933060.9175000004</v>
      </c>
      <c r="G47" s="57">
        <v>4325326.7849999992</v>
      </c>
      <c r="H47" s="57">
        <v>1269742.4499999997</v>
      </c>
      <c r="I47" s="57">
        <v>3049433.7174999998</v>
      </c>
      <c r="J47" s="57">
        <v>133129.38999999998</v>
      </c>
      <c r="K47" s="57">
        <v>806628.00000000012</v>
      </c>
      <c r="L47" s="57">
        <v>5834553.4774999991</v>
      </c>
      <c r="M47" s="57">
        <v>1724609.3</v>
      </c>
      <c r="N47" s="57">
        <v>942399.61250000016</v>
      </c>
      <c r="O47" s="57">
        <v>5511349.0125000002</v>
      </c>
      <c r="P47" s="57">
        <v>3733555.4475000002</v>
      </c>
      <c r="Q47" s="57">
        <v>2211603.7375000003</v>
      </c>
      <c r="R47" s="57">
        <v>2237016.4624999994</v>
      </c>
      <c r="S47" s="57">
        <v>1773564.5649999999</v>
      </c>
      <c r="T47" s="57">
        <v>722918.91249999998</v>
      </c>
      <c r="U47" s="57">
        <v>1513273.3925000001</v>
      </c>
      <c r="V47" s="57">
        <v>3921483.3799999994</v>
      </c>
      <c r="W47" s="57">
        <v>-23674.205000000005</v>
      </c>
      <c r="X47" s="134"/>
      <c r="Y47" s="56">
        <f>SUM(F47:W47)</f>
        <v>49619974.354999997</v>
      </c>
      <c r="Z47" s="112" t="s">
        <v>254</v>
      </c>
    </row>
    <row r="48" spans="1:26" s="55" customFormat="1" ht="69.599999999999994" thickBot="1" x14ac:dyDescent="0.35">
      <c r="A48" s="282"/>
      <c r="B48" s="51" t="s">
        <v>255</v>
      </c>
      <c r="C48" s="52" t="s">
        <v>128</v>
      </c>
      <c r="D48" s="58" t="s">
        <v>256</v>
      </c>
      <c r="E48" s="59" t="s">
        <v>257</v>
      </c>
      <c r="F48" s="60">
        <v>714.92307692307691</v>
      </c>
      <c r="G48" s="60">
        <v>1021.3333333333334</v>
      </c>
      <c r="H48" s="60">
        <v>642.5</v>
      </c>
      <c r="I48" s="60">
        <v>1161</v>
      </c>
      <c r="J48" s="60"/>
      <c r="K48" s="60">
        <v>452</v>
      </c>
      <c r="L48" s="60">
        <v>749.375</v>
      </c>
      <c r="M48" s="60">
        <v>404</v>
      </c>
      <c r="N48" s="60">
        <v>949.5</v>
      </c>
      <c r="O48" s="60">
        <v>827.85714285714289</v>
      </c>
      <c r="P48" s="60">
        <v>620.83333333333337</v>
      </c>
      <c r="Q48" s="60">
        <v>834</v>
      </c>
      <c r="R48" s="60">
        <v>671.25</v>
      </c>
      <c r="S48" s="60">
        <v>424.5</v>
      </c>
      <c r="T48" s="60">
        <v>2662</v>
      </c>
      <c r="U48" s="60">
        <v>779</v>
      </c>
      <c r="V48" s="60">
        <v>637.75</v>
      </c>
      <c r="W48" s="60">
        <v>0</v>
      </c>
      <c r="X48" s="134"/>
      <c r="Y48" s="60">
        <f>SUMPRODUCT(F48:W48, F44:W44) / SUM(F44:W44)</f>
        <v>782.10769230769233</v>
      </c>
      <c r="Z48" s="112" t="s">
        <v>258</v>
      </c>
    </row>
    <row r="50" spans="2:26" x14ac:dyDescent="0.3">
      <c r="B50" s="8"/>
      <c r="C50" s="8"/>
      <c r="D50" s="8"/>
      <c r="E50" s="8"/>
      <c r="F50" s="67"/>
      <c r="G50" s="67"/>
      <c r="H50" s="67"/>
      <c r="I50" s="67"/>
      <c r="J50" s="67"/>
      <c r="K50" s="67"/>
      <c r="L50" s="67"/>
      <c r="M50" s="67"/>
      <c r="N50" s="67"/>
      <c r="O50" s="67"/>
      <c r="P50" s="67"/>
      <c r="Q50" s="67"/>
      <c r="R50" s="67"/>
      <c r="S50" s="67"/>
      <c r="T50" s="67"/>
      <c r="U50" s="67"/>
      <c r="V50" s="67"/>
      <c r="W50" s="8"/>
      <c r="X50" s="8"/>
      <c r="Y50" s="61"/>
      <c r="Z50" s="8"/>
    </row>
    <row r="51" spans="2:26" x14ac:dyDescent="0.3">
      <c r="B51" s="133"/>
      <c r="C51" s="19"/>
      <c r="D51" s="19"/>
      <c r="E51" s="19"/>
      <c r="F51" s="19"/>
      <c r="G51" s="19"/>
      <c r="H51" s="19"/>
      <c r="I51" s="19"/>
      <c r="J51" s="19"/>
      <c r="K51" s="19"/>
      <c r="L51" s="19"/>
      <c r="M51" s="19"/>
      <c r="N51" s="19"/>
      <c r="O51" s="19"/>
      <c r="P51" s="19"/>
      <c r="Q51" s="19"/>
      <c r="R51" s="19"/>
      <c r="S51" s="19"/>
      <c r="T51" s="19"/>
      <c r="U51" s="19"/>
      <c r="V51" s="19"/>
      <c r="W51" s="8"/>
      <c r="X51" s="8"/>
      <c r="Y51" s="61"/>
      <c r="Z51" s="10"/>
    </row>
    <row r="52" spans="2:26" x14ac:dyDescent="0.3">
      <c r="B52" s="133"/>
      <c r="C52" s="19"/>
      <c r="D52" s="19"/>
      <c r="E52" s="19"/>
      <c r="F52" s="19"/>
      <c r="G52" s="19"/>
      <c r="H52" s="19"/>
      <c r="I52" s="19"/>
      <c r="J52" s="19"/>
      <c r="K52" s="19"/>
      <c r="L52" s="19"/>
      <c r="M52" s="19"/>
      <c r="N52" s="19"/>
      <c r="O52" s="19"/>
      <c r="P52" s="19"/>
      <c r="Q52" s="19"/>
      <c r="R52" s="19"/>
      <c r="S52" s="19"/>
      <c r="T52" s="19"/>
      <c r="U52" s="19"/>
      <c r="V52" s="19"/>
      <c r="W52" s="8"/>
      <c r="X52" s="8"/>
      <c r="Y52" s="61"/>
      <c r="Z52" s="10"/>
    </row>
    <row r="53" spans="2:26" ht="41.4" x14ac:dyDescent="0.3">
      <c r="B53" s="73"/>
      <c r="C53" s="73"/>
      <c r="D53" s="73"/>
      <c r="E53" s="73"/>
      <c r="F53" s="73"/>
      <c r="G53" s="73"/>
      <c r="H53" s="73"/>
      <c r="I53" s="73"/>
      <c r="J53" s="73"/>
      <c r="K53" s="73"/>
      <c r="L53" s="73"/>
      <c r="M53" s="73"/>
      <c r="N53" s="73"/>
      <c r="O53" s="73"/>
      <c r="P53" s="73"/>
      <c r="Q53" s="73"/>
      <c r="R53" s="73"/>
      <c r="V53" s="73"/>
      <c r="W53" s="73"/>
      <c r="Z53" s="74" t="s">
        <v>259</v>
      </c>
    </row>
    <row r="54" spans="2:26" ht="27.6" x14ac:dyDescent="0.3">
      <c r="B54" s="73"/>
      <c r="C54" s="73"/>
      <c r="D54" s="73"/>
      <c r="E54" s="73"/>
      <c r="F54" s="73"/>
      <c r="G54" s="73"/>
      <c r="H54" s="73"/>
      <c r="I54" s="73"/>
      <c r="J54" s="73"/>
      <c r="K54" s="73"/>
      <c r="L54" s="73"/>
      <c r="M54" s="73"/>
      <c r="N54" s="73"/>
      <c r="O54" s="73"/>
      <c r="P54" s="73"/>
      <c r="Q54" s="73"/>
      <c r="R54" s="73"/>
      <c r="V54" s="73"/>
      <c r="W54" s="73"/>
      <c r="Z54" s="74" t="s">
        <v>260</v>
      </c>
    </row>
    <row r="55" spans="2:26" x14ac:dyDescent="0.3">
      <c r="D55" s="74"/>
      <c r="E55" s="74"/>
      <c r="F55" s="74"/>
      <c r="G55" s="74"/>
      <c r="H55" s="74"/>
      <c r="I55" s="74"/>
      <c r="J55" s="74"/>
      <c r="K55" s="74"/>
      <c r="L55" s="74"/>
      <c r="M55" s="74"/>
      <c r="N55" s="74"/>
      <c r="O55" s="74"/>
      <c r="P55" s="74"/>
      <c r="Q55" s="74"/>
      <c r="R55" s="74"/>
      <c r="S55" s="74"/>
      <c r="T55" s="74"/>
      <c r="U55" s="74"/>
      <c r="V55" s="74"/>
      <c r="W55" s="74"/>
      <c r="X55" s="74"/>
      <c r="Y55" s="74"/>
    </row>
    <row r="56" spans="2:26" x14ac:dyDescent="0.3">
      <c r="C56" s="74"/>
      <c r="D56" s="74"/>
      <c r="E56" s="74"/>
      <c r="F56" s="74"/>
      <c r="G56" s="74"/>
      <c r="H56" s="74"/>
      <c r="I56" s="74"/>
      <c r="J56" s="74"/>
      <c r="K56" s="74"/>
      <c r="L56" s="74"/>
      <c r="M56" s="74"/>
      <c r="N56" s="74"/>
      <c r="O56" s="74"/>
      <c r="P56" s="74"/>
      <c r="Q56" s="74"/>
      <c r="R56" s="74"/>
      <c r="S56" s="74"/>
      <c r="T56" s="74"/>
      <c r="U56" s="74"/>
      <c r="V56" s="74"/>
      <c r="W56" s="74"/>
      <c r="X56" s="74"/>
      <c r="Y56" s="74"/>
    </row>
  </sheetData>
  <mergeCells count="7">
    <mergeCell ref="A39:A48"/>
    <mergeCell ref="A23:A35"/>
    <mergeCell ref="A9:A15"/>
    <mergeCell ref="V4:W4"/>
    <mergeCell ref="A17:A21"/>
    <mergeCell ref="A6:A7"/>
    <mergeCell ref="F4:U4"/>
  </mergeCells>
  <phoneticPr fontId="15" type="noConversion"/>
  <pageMargins left="0.25" right="0.25" top="0.75" bottom="0.75" header="0.3" footer="0.3"/>
  <pageSetup scale="25" fitToHeight="0" orientation="landscape" r:id="rId1"/>
  <headerFooter>
    <oddFooter>&amp;C
&amp;1#&amp;"Calibri,Regular"&amp;12&amp;K000000 Public &amp;R&amp;P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14EB8A-D335-4B6E-BA8E-03CAEED48830}">
  <dimension ref="A1:N449"/>
  <sheetViews>
    <sheetView zoomScale="90" zoomScaleNormal="90" zoomScaleSheetLayoutView="80" workbookViewId="0">
      <selection activeCell="A4" sqref="A4"/>
    </sheetView>
  </sheetViews>
  <sheetFormatPr defaultColWidth="8.6640625" defaultRowHeight="15.6" x14ac:dyDescent="0.3"/>
  <cols>
    <col min="1" max="1" width="16.33203125" style="10" customWidth="1"/>
    <col min="2" max="2" width="24.6640625" style="10" customWidth="1"/>
    <col min="3" max="5" width="22.33203125" style="10" customWidth="1"/>
    <col min="6" max="6" width="35.44140625" style="1" customWidth="1"/>
    <col min="7" max="11" width="22.33203125" style="10" customWidth="1"/>
    <col min="12" max="12" width="29.6640625" style="10" customWidth="1"/>
    <col min="13" max="13" width="22.33203125" style="10" customWidth="1"/>
    <col min="14" max="14" width="35.5546875" style="10" customWidth="1"/>
    <col min="15" max="16384" width="8.6640625" style="10"/>
  </cols>
  <sheetData>
    <row r="1" spans="1:14" ht="15.6" customHeight="1" x14ac:dyDescent="0.3">
      <c r="A1" s="1" t="s">
        <v>261</v>
      </c>
      <c r="B1" s="1"/>
      <c r="C1" s="1"/>
      <c r="D1" s="1"/>
      <c r="E1" s="1"/>
    </row>
    <row r="2" spans="1:14" ht="15.6" customHeight="1" x14ac:dyDescent="0.3">
      <c r="A2" s="1" t="s">
        <v>78</v>
      </c>
      <c r="B2" s="1"/>
      <c r="C2" s="1"/>
      <c r="D2" s="1"/>
      <c r="E2" s="1"/>
    </row>
    <row r="3" spans="1:14" x14ac:dyDescent="0.3">
      <c r="A3" s="1" t="s">
        <v>79</v>
      </c>
      <c r="B3" s="1"/>
      <c r="C3" s="1"/>
      <c r="D3" s="1"/>
      <c r="E3" s="1"/>
    </row>
    <row r="4" spans="1:14" ht="16.2" thickBot="1" x14ac:dyDescent="0.35">
      <c r="A4" s="46"/>
      <c r="B4" s="47"/>
      <c r="C4" s="47"/>
      <c r="D4" s="47"/>
    </row>
    <row r="5" spans="1:14" s="1" customFormat="1" ht="16.2" thickBot="1" x14ac:dyDescent="0.35">
      <c r="A5" s="21" t="s">
        <v>262</v>
      </c>
      <c r="B5" s="65" t="s">
        <v>263</v>
      </c>
      <c r="C5" s="65" t="s">
        <v>264</v>
      </c>
      <c r="D5" s="65" t="s">
        <v>265</v>
      </c>
      <c r="E5" s="65" t="s">
        <v>266</v>
      </c>
      <c r="F5" s="65" t="s">
        <v>267</v>
      </c>
      <c r="G5" s="65" t="s">
        <v>268</v>
      </c>
      <c r="H5" s="65" t="s">
        <v>269</v>
      </c>
      <c r="I5" s="65" t="s">
        <v>270</v>
      </c>
      <c r="J5" s="65" t="s">
        <v>271</v>
      </c>
      <c r="K5" s="65" t="s">
        <v>272</v>
      </c>
      <c r="L5" s="65" t="s">
        <v>273</v>
      </c>
      <c r="M5" s="65" t="s">
        <v>274</v>
      </c>
      <c r="N5" s="22"/>
    </row>
    <row r="6" spans="1:14" ht="33" thickBot="1" x14ac:dyDescent="0.35">
      <c r="A6" s="3" t="s">
        <v>275</v>
      </c>
      <c r="B6" s="5" t="s">
        <v>276</v>
      </c>
      <c r="C6" s="6" t="s">
        <v>277</v>
      </c>
      <c r="D6" s="6" t="s">
        <v>278</v>
      </c>
      <c r="E6" s="5" t="s">
        <v>59</v>
      </c>
      <c r="F6" s="5" t="s">
        <v>279</v>
      </c>
      <c r="G6" s="5" t="s">
        <v>280</v>
      </c>
      <c r="H6" s="5" t="s">
        <v>281</v>
      </c>
      <c r="I6" s="5" t="s">
        <v>282</v>
      </c>
      <c r="J6" s="5" t="s">
        <v>283</v>
      </c>
      <c r="K6" s="5" t="s">
        <v>284</v>
      </c>
      <c r="L6" s="5" t="s">
        <v>285</v>
      </c>
      <c r="M6" s="5" t="s">
        <v>286</v>
      </c>
    </row>
    <row r="7" spans="1:14" ht="156.6" thickBot="1" x14ac:dyDescent="0.35">
      <c r="A7" s="62" t="s">
        <v>53</v>
      </c>
      <c r="B7" s="63" t="s">
        <v>287</v>
      </c>
      <c r="C7" s="63" t="s">
        <v>288</v>
      </c>
      <c r="D7" s="63" t="s">
        <v>289</v>
      </c>
      <c r="E7" s="63" t="s">
        <v>290</v>
      </c>
      <c r="F7" s="63" t="s">
        <v>291</v>
      </c>
      <c r="G7" s="63" t="s">
        <v>292</v>
      </c>
      <c r="H7" s="63" t="s">
        <v>293</v>
      </c>
      <c r="I7" s="63" t="s">
        <v>294</v>
      </c>
      <c r="J7" s="63" t="s">
        <v>295</v>
      </c>
      <c r="K7" s="63" t="s">
        <v>296</v>
      </c>
      <c r="L7" s="63" t="s">
        <v>297</v>
      </c>
      <c r="M7" s="63" t="s">
        <v>298</v>
      </c>
      <c r="N7" s="8"/>
    </row>
    <row r="8" spans="1:14" ht="16.2" thickBot="1" x14ac:dyDescent="0.35">
      <c r="A8" s="64" t="s">
        <v>133</v>
      </c>
      <c r="B8" s="64">
        <v>114128</v>
      </c>
      <c r="C8" s="35">
        <f t="shared" ref="C8:C71" si="0">H8/E8</f>
        <v>3</v>
      </c>
      <c r="D8" s="35">
        <f t="shared" ref="D8:D71" si="1">I8/E8</f>
        <v>2</v>
      </c>
      <c r="E8" s="15">
        <v>1</v>
      </c>
      <c r="F8" s="65" t="s">
        <v>299</v>
      </c>
      <c r="G8" s="15" t="s">
        <v>300</v>
      </c>
      <c r="H8" s="15">
        <v>3</v>
      </c>
      <c r="I8" s="15">
        <f>SUM(J8:K8)</f>
        <v>2</v>
      </c>
      <c r="J8" s="15">
        <v>2</v>
      </c>
      <c r="K8" s="15">
        <v>0</v>
      </c>
      <c r="L8" s="15" t="s">
        <v>96</v>
      </c>
      <c r="M8" s="15" t="s">
        <v>301</v>
      </c>
    </row>
    <row r="9" spans="1:14" ht="16.2" thickBot="1" x14ac:dyDescent="0.35">
      <c r="A9" s="64" t="s">
        <v>133</v>
      </c>
      <c r="B9" s="64">
        <v>109215</v>
      </c>
      <c r="C9" s="35">
        <f t="shared" si="0"/>
        <v>2</v>
      </c>
      <c r="D9" s="35">
        <f t="shared" si="1"/>
        <v>1</v>
      </c>
      <c r="E9" s="15">
        <v>1</v>
      </c>
      <c r="F9" s="65" t="s">
        <v>299</v>
      </c>
      <c r="G9" s="15" t="s">
        <v>300</v>
      </c>
      <c r="H9" s="15">
        <v>2</v>
      </c>
      <c r="I9" s="15">
        <f t="shared" ref="I9:I72" si="2">SUM(J9:K9)</f>
        <v>1</v>
      </c>
      <c r="J9" s="15">
        <v>1</v>
      </c>
      <c r="K9" s="15">
        <v>0</v>
      </c>
      <c r="L9" s="15" t="s">
        <v>89</v>
      </c>
      <c r="M9" s="15" t="s">
        <v>302</v>
      </c>
    </row>
    <row r="10" spans="1:14" ht="16.2" thickBot="1" x14ac:dyDescent="0.35">
      <c r="A10" s="64" t="s">
        <v>133</v>
      </c>
      <c r="B10" s="64">
        <v>111001</v>
      </c>
      <c r="C10" s="35">
        <f t="shared" si="0"/>
        <v>27</v>
      </c>
      <c r="D10" s="35">
        <f t="shared" si="1"/>
        <v>30</v>
      </c>
      <c r="E10" s="15">
        <v>1</v>
      </c>
      <c r="F10" s="65" t="s">
        <v>299</v>
      </c>
      <c r="G10" s="15" t="s">
        <v>300</v>
      </c>
      <c r="H10" s="15">
        <v>27</v>
      </c>
      <c r="I10" s="15">
        <f t="shared" si="2"/>
        <v>30</v>
      </c>
      <c r="J10" s="15">
        <v>30</v>
      </c>
      <c r="K10" s="15">
        <v>0</v>
      </c>
      <c r="L10" s="15" t="s">
        <v>94</v>
      </c>
      <c r="M10" s="15" t="s">
        <v>303</v>
      </c>
    </row>
    <row r="11" spans="1:14" ht="16.2" thickBot="1" x14ac:dyDescent="0.35">
      <c r="A11" s="64" t="s">
        <v>133</v>
      </c>
      <c r="B11" s="64">
        <v>110132</v>
      </c>
      <c r="C11" s="35">
        <f t="shared" si="0"/>
        <v>2</v>
      </c>
      <c r="D11" s="35">
        <f t="shared" si="1"/>
        <v>2</v>
      </c>
      <c r="E11" s="15">
        <v>1</v>
      </c>
      <c r="F11" s="65" t="s">
        <v>299</v>
      </c>
      <c r="G11" s="15" t="s">
        <v>300</v>
      </c>
      <c r="H11" s="15">
        <v>2</v>
      </c>
      <c r="I11" s="15">
        <f t="shared" si="2"/>
        <v>2</v>
      </c>
      <c r="J11" s="15">
        <v>2</v>
      </c>
      <c r="K11" s="15">
        <v>0</v>
      </c>
      <c r="L11" s="15" t="s">
        <v>93</v>
      </c>
      <c r="M11" s="15" t="s">
        <v>304</v>
      </c>
    </row>
    <row r="12" spans="1:14" ht="31.8" thickBot="1" x14ac:dyDescent="0.35">
      <c r="A12" s="64" t="s">
        <v>133</v>
      </c>
      <c r="B12" s="64">
        <v>112113</v>
      </c>
      <c r="C12" s="35">
        <f t="shared" si="0"/>
        <v>3</v>
      </c>
      <c r="D12" s="35">
        <f t="shared" si="1"/>
        <v>2</v>
      </c>
      <c r="E12" s="15">
        <v>1</v>
      </c>
      <c r="F12" s="65" t="s">
        <v>299</v>
      </c>
      <c r="G12" s="15" t="s">
        <v>300</v>
      </c>
      <c r="H12" s="15">
        <v>3</v>
      </c>
      <c r="I12" s="15">
        <f t="shared" si="2"/>
        <v>2</v>
      </c>
      <c r="J12" s="15">
        <v>2</v>
      </c>
      <c r="K12" s="15">
        <v>0</v>
      </c>
      <c r="L12" s="15" t="s">
        <v>95</v>
      </c>
      <c r="M12" s="15" t="s">
        <v>305</v>
      </c>
    </row>
    <row r="13" spans="1:14" ht="16.2" thickBot="1" x14ac:dyDescent="0.35">
      <c r="A13" s="64" t="s">
        <v>133</v>
      </c>
      <c r="B13" s="64">
        <v>105022</v>
      </c>
      <c r="C13" s="35">
        <f t="shared" si="0"/>
        <v>125</v>
      </c>
      <c r="D13" s="35">
        <f t="shared" si="1"/>
        <v>129</v>
      </c>
      <c r="E13" s="15">
        <v>1</v>
      </c>
      <c r="F13" s="65" t="s">
        <v>299</v>
      </c>
      <c r="G13" s="15" t="s">
        <v>300</v>
      </c>
      <c r="H13" s="15">
        <v>125</v>
      </c>
      <c r="I13" s="15">
        <f t="shared" si="2"/>
        <v>129</v>
      </c>
      <c r="J13" s="15">
        <v>129</v>
      </c>
      <c r="K13" s="15">
        <v>0</v>
      </c>
      <c r="L13" s="15" t="s">
        <v>88</v>
      </c>
      <c r="M13" s="15" t="s">
        <v>306</v>
      </c>
    </row>
    <row r="14" spans="1:14" ht="16.2" thickBot="1" x14ac:dyDescent="0.35">
      <c r="A14" s="64" t="s">
        <v>133</v>
      </c>
      <c r="B14" s="64">
        <v>118134</v>
      </c>
      <c r="C14" s="35">
        <f t="shared" si="0"/>
        <v>2</v>
      </c>
      <c r="D14" s="35">
        <f t="shared" si="1"/>
        <v>2</v>
      </c>
      <c r="E14" s="15">
        <v>1</v>
      </c>
      <c r="F14" s="65" t="s">
        <v>299</v>
      </c>
      <c r="G14" s="15" t="s">
        <v>300</v>
      </c>
      <c r="H14" s="15">
        <v>2</v>
      </c>
      <c r="I14" s="15">
        <f t="shared" si="2"/>
        <v>2</v>
      </c>
      <c r="J14" s="15">
        <v>2</v>
      </c>
      <c r="K14" s="15">
        <v>0</v>
      </c>
      <c r="L14" s="15" t="s">
        <v>85</v>
      </c>
      <c r="M14" s="15" t="s">
        <v>307</v>
      </c>
    </row>
    <row r="15" spans="1:14" ht="31.8" thickBot="1" x14ac:dyDescent="0.35">
      <c r="A15" s="64" t="s">
        <v>133</v>
      </c>
      <c r="B15" s="64">
        <v>114083</v>
      </c>
      <c r="C15" s="35">
        <f t="shared" si="0"/>
        <v>2748</v>
      </c>
      <c r="D15" s="35">
        <f t="shared" si="1"/>
        <v>2621</v>
      </c>
      <c r="E15" s="15">
        <v>1</v>
      </c>
      <c r="F15" s="65" t="s">
        <v>299</v>
      </c>
      <c r="G15" s="15" t="s">
        <v>300</v>
      </c>
      <c r="H15" s="15">
        <v>2748</v>
      </c>
      <c r="I15" s="15">
        <f t="shared" si="2"/>
        <v>2621</v>
      </c>
      <c r="J15" s="15">
        <v>2621</v>
      </c>
      <c r="K15" s="15">
        <v>0</v>
      </c>
      <c r="L15" s="15" t="s">
        <v>96</v>
      </c>
      <c r="M15" s="15" t="s">
        <v>308</v>
      </c>
    </row>
    <row r="16" spans="1:14" ht="187.8" thickBot="1" x14ac:dyDescent="0.35">
      <c r="A16" s="64" t="s">
        <v>133</v>
      </c>
      <c r="B16" s="64">
        <v>104001</v>
      </c>
      <c r="C16" s="35">
        <f t="shared" si="0"/>
        <v>306.5</v>
      </c>
      <c r="D16" s="35">
        <f t="shared" si="1"/>
        <v>585.20000000000005</v>
      </c>
      <c r="E16" s="15">
        <v>10</v>
      </c>
      <c r="F16" s="65">
        <v>1</v>
      </c>
      <c r="G16" s="15" t="s">
        <v>309</v>
      </c>
      <c r="H16" s="15">
        <v>3065</v>
      </c>
      <c r="I16" s="15">
        <f t="shared" si="2"/>
        <v>5852</v>
      </c>
      <c r="J16" s="15">
        <v>5852</v>
      </c>
      <c r="K16" s="15">
        <v>0</v>
      </c>
      <c r="L16" s="15" t="s">
        <v>100</v>
      </c>
      <c r="M16" s="15" t="s">
        <v>310</v>
      </c>
    </row>
    <row r="17" spans="1:13" ht="47.4" thickBot="1" x14ac:dyDescent="0.35">
      <c r="A17" s="64" t="s">
        <v>133</v>
      </c>
      <c r="B17" s="64">
        <v>104002</v>
      </c>
      <c r="C17" s="35">
        <f t="shared" si="0"/>
        <v>598.6</v>
      </c>
      <c r="D17" s="35">
        <f t="shared" si="1"/>
        <v>795.4</v>
      </c>
      <c r="E17" s="15">
        <v>5</v>
      </c>
      <c r="F17" s="65" t="s">
        <v>299</v>
      </c>
      <c r="G17" s="15" t="s">
        <v>300</v>
      </c>
      <c r="H17" s="15">
        <v>2993</v>
      </c>
      <c r="I17" s="15">
        <f t="shared" si="2"/>
        <v>3977</v>
      </c>
      <c r="J17" s="15">
        <v>3977</v>
      </c>
      <c r="K17" s="15">
        <v>0</v>
      </c>
      <c r="L17" s="15" t="s">
        <v>100</v>
      </c>
      <c r="M17" s="15" t="s">
        <v>311</v>
      </c>
    </row>
    <row r="18" spans="1:13" ht="409.6" thickBot="1" x14ac:dyDescent="0.35">
      <c r="A18" s="64" t="s">
        <v>133</v>
      </c>
      <c r="B18" s="64">
        <v>104003</v>
      </c>
      <c r="C18" s="35">
        <f t="shared" si="0"/>
        <v>1931.7777777777778</v>
      </c>
      <c r="D18" s="35">
        <f t="shared" si="1"/>
        <v>2573.6666666666665</v>
      </c>
      <c r="E18" s="15">
        <v>9</v>
      </c>
      <c r="F18" s="65" t="s">
        <v>299</v>
      </c>
      <c r="G18" s="15" t="s">
        <v>300</v>
      </c>
      <c r="H18" s="15">
        <v>17386</v>
      </c>
      <c r="I18" s="15">
        <f t="shared" si="2"/>
        <v>23163</v>
      </c>
      <c r="J18" s="15">
        <v>23163</v>
      </c>
      <c r="K18" s="15">
        <v>0</v>
      </c>
      <c r="L18" s="15" t="s">
        <v>100</v>
      </c>
      <c r="M18" s="15" t="s">
        <v>312</v>
      </c>
    </row>
    <row r="19" spans="1:13" ht="16.2" thickBot="1" x14ac:dyDescent="0.35">
      <c r="A19" s="64" t="s">
        <v>133</v>
      </c>
      <c r="B19" s="64">
        <v>112037</v>
      </c>
      <c r="C19" s="35">
        <f t="shared" si="0"/>
        <v>54</v>
      </c>
      <c r="D19" s="35">
        <f t="shared" si="1"/>
        <v>54</v>
      </c>
      <c r="E19" s="15">
        <v>1</v>
      </c>
      <c r="F19" s="65" t="s">
        <v>299</v>
      </c>
      <c r="G19" s="15" t="s">
        <v>300</v>
      </c>
      <c r="H19" s="15">
        <v>54</v>
      </c>
      <c r="I19" s="15">
        <f t="shared" si="2"/>
        <v>54</v>
      </c>
      <c r="J19" s="15">
        <v>54</v>
      </c>
      <c r="K19" s="15">
        <v>0</v>
      </c>
      <c r="L19" s="15" t="s">
        <v>92</v>
      </c>
      <c r="M19" s="15" t="s">
        <v>313</v>
      </c>
    </row>
    <row r="20" spans="1:13" ht="47.4" thickBot="1" x14ac:dyDescent="0.35">
      <c r="A20" s="64" t="s">
        <v>133</v>
      </c>
      <c r="B20" s="64">
        <v>103018</v>
      </c>
      <c r="C20" s="35">
        <f t="shared" si="0"/>
        <v>420</v>
      </c>
      <c r="D20" s="35">
        <f t="shared" si="1"/>
        <v>456</v>
      </c>
      <c r="E20" s="15">
        <v>1</v>
      </c>
      <c r="F20" s="65" t="s">
        <v>299</v>
      </c>
      <c r="G20" s="15" t="s">
        <v>300</v>
      </c>
      <c r="H20" s="15">
        <v>420</v>
      </c>
      <c r="I20" s="15">
        <f t="shared" si="2"/>
        <v>456</v>
      </c>
      <c r="J20" s="15">
        <v>456</v>
      </c>
      <c r="K20" s="15">
        <v>0</v>
      </c>
      <c r="L20" s="15" t="s">
        <v>87</v>
      </c>
      <c r="M20" s="15" t="s">
        <v>314</v>
      </c>
    </row>
    <row r="21" spans="1:13" ht="94.2" thickBot="1" x14ac:dyDescent="0.35">
      <c r="A21" s="64" t="s">
        <v>133</v>
      </c>
      <c r="B21" s="64">
        <v>110017</v>
      </c>
      <c r="C21" s="35">
        <f t="shared" si="0"/>
        <v>2053.5</v>
      </c>
      <c r="D21" s="35">
        <f t="shared" si="1"/>
        <v>2545</v>
      </c>
      <c r="E21" s="15">
        <v>2</v>
      </c>
      <c r="F21" s="65" t="s">
        <v>299</v>
      </c>
      <c r="G21" s="15" t="s">
        <v>300</v>
      </c>
      <c r="H21" s="15">
        <v>4107</v>
      </c>
      <c r="I21" s="15">
        <f t="shared" si="2"/>
        <v>5090</v>
      </c>
      <c r="J21" s="15">
        <v>5090</v>
      </c>
      <c r="K21" s="15">
        <v>0</v>
      </c>
      <c r="L21" s="15" t="s">
        <v>93</v>
      </c>
      <c r="M21" s="15" t="s">
        <v>315</v>
      </c>
    </row>
    <row r="22" spans="1:13" ht="16.2" thickBot="1" x14ac:dyDescent="0.35">
      <c r="A22" s="64" t="s">
        <v>133</v>
      </c>
      <c r="B22" s="64">
        <v>108001</v>
      </c>
      <c r="C22" s="35">
        <f t="shared" si="0"/>
        <v>784</v>
      </c>
      <c r="D22" s="35">
        <f t="shared" si="1"/>
        <v>950</v>
      </c>
      <c r="E22" s="15">
        <v>1</v>
      </c>
      <c r="F22" s="65" t="s">
        <v>299</v>
      </c>
      <c r="G22" s="15" t="s">
        <v>300</v>
      </c>
      <c r="H22" s="15">
        <v>784</v>
      </c>
      <c r="I22" s="15">
        <f t="shared" si="2"/>
        <v>950</v>
      </c>
      <c r="J22" s="15">
        <v>950</v>
      </c>
      <c r="K22" s="15">
        <v>0</v>
      </c>
      <c r="L22" s="15" t="s">
        <v>92</v>
      </c>
      <c r="M22" s="15" t="s">
        <v>316</v>
      </c>
    </row>
    <row r="23" spans="1:13" ht="63" thickBot="1" x14ac:dyDescent="0.35">
      <c r="A23" s="64" t="s">
        <v>133</v>
      </c>
      <c r="B23" s="64">
        <v>114084</v>
      </c>
      <c r="C23" s="35">
        <f t="shared" si="0"/>
        <v>1606.5</v>
      </c>
      <c r="D23" s="35">
        <f t="shared" si="1"/>
        <v>1738.5</v>
      </c>
      <c r="E23" s="15">
        <v>2</v>
      </c>
      <c r="F23" s="65" t="s">
        <v>299</v>
      </c>
      <c r="G23" s="15" t="s">
        <v>300</v>
      </c>
      <c r="H23" s="15">
        <v>3213</v>
      </c>
      <c r="I23" s="15">
        <f t="shared" si="2"/>
        <v>3477</v>
      </c>
      <c r="J23" s="15">
        <v>3477</v>
      </c>
      <c r="K23" s="15">
        <v>0</v>
      </c>
      <c r="L23" s="15" t="s">
        <v>95</v>
      </c>
      <c r="M23" s="15" t="s">
        <v>317</v>
      </c>
    </row>
    <row r="24" spans="1:13" ht="31.8" thickBot="1" x14ac:dyDescent="0.35">
      <c r="A24" s="64" t="s">
        <v>133</v>
      </c>
      <c r="B24" s="64">
        <v>118085</v>
      </c>
      <c r="C24" s="35">
        <f t="shared" si="0"/>
        <v>12</v>
      </c>
      <c r="D24" s="35">
        <f t="shared" si="1"/>
        <v>10</v>
      </c>
      <c r="E24" s="15">
        <v>1</v>
      </c>
      <c r="F24" s="65" t="s">
        <v>299</v>
      </c>
      <c r="G24" s="15" t="s">
        <v>300</v>
      </c>
      <c r="H24" s="15">
        <v>12</v>
      </c>
      <c r="I24" s="15">
        <f t="shared" si="2"/>
        <v>10</v>
      </c>
      <c r="J24" s="15">
        <v>10</v>
      </c>
      <c r="K24" s="15">
        <v>0</v>
      </c>
      <c r="L24" s="15" t="s">
        <v>85</v>
      </c>
      <c r="M24" s="15" t="s">
        <v>318</v>
      </c>
    </row>
    <row r="25" spans="1:13" ht="16.2" thickBot="1" x14ac:dyDescent="0.35">
      <c r="A25" s="64" t="s">
        <v>133</v>
      </c>
      <c r="B25" s="64">
        <v>112040</v>
      </c>
      <c r="C25" s="35">
        <f t="shared" si="0"/>
        <v>1016</v>
      </c>
      <c r="D25" s="35">
        <f t="shared" si="1"/>
        <v>1129</v>
      </c>
      <c r="E25" s="15">
        <v>1</v>
      </c>
      <c r="F25" s="65" t="s">
        <v>299</v>
      </c>
      <c r="G25" s="15" t="s">
        <v>300</v>
      </c>
      <c r="H25" s="15">
        <v>1016</v>
      </c>
      <c r="I25" s="15">
        <f t="shared" si="2"/>
        <v>1129</v>
      </c>
      <c r="J25" s="15">
        <v>1129</v>
      </c>
      <c r="K25" s="15">
        <v>0</v>
      </c>
      <c r="L25" s="15" t="s">
        <v>95</v>
      </c>
      <c r="M25" s="15" t="s">
        <v>319</v>
      </c>
    </row>
    <row r="26" spans="1:13" ht="109.8" thickBot="1" x14ac:dyDescent="0.35">
      <c r="A26" s="64" t="s">
        <v>133</v>
      </c>
      <c r="B26" s="64">
        <v>109001</v>
      </c>
      <c r="C26" s="35">
        <f t="shared" si="0"/>
        <v>1246.25</v>
      </c>
      <c r="D26" s="35">
        <f t="shared" si="1"/>
        <v>1938.5</v>
      </c>
      <c r="E26" s="15">
        <v>4</v>
      </c>
      <c r="F26" s="65">
        <v>1</v>
      </c>
      <c r="G26" s="15" t="s">
        <v>300</v>
      </c>
      <c r="H26" s="15">
        <v>4985</v>
      </c>
      <c r="I26" s="15">
        <f t="shared" si="2"/>
        <v>7754</v>
      </c>
      <c r="J26" s="15">
        <v>7754</v>
      </c>
      <c r="K26" s="15">
        <v>0</v>
      </c>
      <c r="L26" s="15" t="s">
        <v>89</v>
      </c>
      <c r="M26" s="15" t="s">
        <v>320</v>
      </c>
    </row>
    <row r="27" spans="1:13" ht="31.8" thickBot="1" x14ac:dyDescent="0.35">
      <c r="A27" s="64" t="s">
        <v>133</v>
      </c>
      <c r="B27" s="64">
        <v>112066</v>
      </c>
      <c r="C27" s="35">
        <f t="shared" si="0"/>
        <v>73</v>
      </c>
      <c r="D27" s="35">
        <f t="shared" si="1"/>
        <v>108</v>
      </c>
      <c r="E27" s="15">
        <v>1</v>
      </c>
      <c r="F27" s="65" t="s">
        <v>299</v>
      </c>
      <c r="G27" s="15" t="s">
        <v>300</v>
      </c>
      <c r="H27" s="15">
        <v>73</v>
      </c>
      <c r="I27" s="15">
        <f t="shared" si="2"/>
        <v>108</v>
      </c>
      <c r="J27" s="15">
        <v>108</v>
      </c>
      <c r="K27" s="15">
        <v>0</v>
      </c>
      <c r="L27" s="15" t="s">
        <v>95</v>
      </c>
      <c r="M27" s="15" t="s">
        <v>321</v>
      </c>
    </row>
    <row r="28" spans="1:13" ht="47.4" thickBot="1" x14ac:dyDescent="0.35">
      <c r="A28" s="64" t="s">
        <v>133</v>
      </c>
      <c r="B28" s="64">
        <v>118035</v>
      </c>
      <c r="C28" s="35">
        <f t="shared" si="0"/>
        <v>415</v>
      </c>
      <c r="D28" s="35">
        <f t="shared" si="1"/>
        <v>428</v>
      </c>
      <c r="E28" s="15">
        <v>1</v>
      </c>
      <c r="F28" s="65" t="s">
        <v>299</v>
      </c>
      <c r="G28" s="15" t="s">
        <v>300</v>
      </c>
      <c r="H28" s="15">
        <v>415</v>
      </c>
      <c r="I28" s="15">
        <f t="shared" si="2"/>
        <v>428</v>
      </c>
      <c r="J28" s="15">
        <v>428</v>
      </c>
      <c r="K28" s="15">
        <v>0</v>
      </c>
      <c r="L28" s="15" t="s">
        <v>85</v>
      </c>
      <c r="M28" s="15" t="s">
        <v>322</v>
      </c>
    </row>
    <row r="29" spans="1:13" ht="172.2" thickBot="1" x14ac:dyDescent="0.35">
      <c r="A29" s="64" t="s">
        <v>133</v>
      </c>
      <c r="B29" s="64">
        <v>117001</v>
      </c>
      <c r="C29" s="35">
        <f t="shared" si="0"/>
        <v>3830.6666666666665</v>
      </c>
      <c r="D29" s="35">
        <f t="shared" si="1"/>
        <v>4626.666666666667</v>
      </c>
      <c r="E29" s="15">
        <v>3</v>
      </c>
      <c r="F29" s="65">
        <v>1</v>
      </c>
      <c r="G29" s="15" t="s">
        <v>300</v>
      </c>
      <c r="H29" s="15">
        <v>11492</v>
      </c>
      <c r="I29" s="15">
        <f t="shared" si="2"/>
        <v>13880</v>
      </c>
      <c r="J29" s="15">
        <v>13880</v>
      </c>
      <c r="K29" s="15">
        <v>0</v>
      </c>
      <c r="L29" s="15" t="s">
        <v>99</v>
      </c>
      <c r="M29" s="15" t="s">
        <v>323</v>
      </c>
    </row>
    <row r="30" spans="1:13" ht="31.8" thickBot="1" x14ac:dyDescent="0.35">
      <c r="A30" s="64" t="s">
        <v>133</v>
      </c>
      <c r="B30" s="64">
        <v>117013</v>
      </c>
      <c r="C30" s="35">
        <f t="shared" si="0"/>
        <v>1153</v>
      </c>
      <c r="D30" s="35">
        <f t="shared" si="1"/>
        <v>1147</v>
      </c>
      <c r="E30" s="15">
        <v>1</v>
      </c>
      <c r="F30" s="65" t="s">
        <v>299</v>
      </c>
      <c r="G30" s="15" t="s">
        <v>300</v>
      </c>
      <c r="H30" s="15">
        <v>1153</v>
      </c>
      <c r="I30" s="15">
        <f t="shared" si="2"/>
        <v>1147</v>
      </c>
      <c r="J30" s="15">
        <v>1147</v>
      </c>
      <c r="K30" s="15">
        <v>0</v>
      </c>
      <c r="L30" s="15" t="s">
        <v>99</v>
      </c>
      <c r="M30" s="15" t="s">
        <v>324</v>
      </c>
    </row>
    <row r="31" spans="1:13" ht="31.8" thickBot="1" x14ac:dyDescent="0.35">
      <c r="A31" s="64" t="s">
        <v>133</v>
      </c>
      <c r="B31" s="64">
        <v>117022</v>
      </c>
      <c r="C31" s="35">
        <f t="shared" si="0"/>
        <v>585</v>
      </c>
      <c r="D31" s="35">
        <f t="shared" si="1"/>
        <v>564</v>
      </c>
      <c r="E31" s="15">
        <v>1</v>
      </c>
      <c r="F31" s="65" t="s">
        <v>299</v>
      </c>
      <c r="G31" s="15" t="s">
        <v>300</v>
      </c>
      <c r="H31" s="15">
        <v>585</v>
      </c>
      <c r="I31" s="15">
        <f t="shared" si="2"/>
        <v>564</v>
      </c>
      <c r="J31" s="15">
        <v>564</v>
      </c>
      <c r="K31" s="15">
        <v>0</v>
      </c>
      <c r="L31" s="15" t="s">
        <v>99</v>
      </c>
      <c r="M31" s="15" t="s">
        <v>325</v>
      </c>
    </row>
    <row r="32" spans="1:13" ht="172.2" thickBot="1" x14ac:dyDescent="0.35">
      <c r="A32" s="64" t="s">
        <v>133</v>
      </c>
      <c r="B32" s="64">
        <v>114002</v>
      </c>
      <c r="C32" s="35">
        <f t="shared" si="0"/>
        <v>10047</v>
      </c>
      <c r="D32" s="35">
        <f t="shared" si="1"/>
        <v>13122</v>
      </c>
      <c r="E32" s="15">
        <v>1</v>
      </c>
      <c r="F32" s="65" t="s">
        <v>299</v>
      </c>
      <c r="G32" s="15" t="s">
        <v>300</v>
      </c>
      <c r="H32" s="15">
        <v>10047</v>
      </c>
      <c r="I32" s="15">
        <f t="shared" si="2"/>
        <v>13122</v>
      </c>
      <c r="J32" s="15">
        <v>13122</v>
      </c>
      <c r="K32" s="15">
        <v>0</v>
      </c>
      <c r="L32" s="15" t="s">
        <v>96</v>
      </c>
      <c r="M32" s="15" t="s">
        <v>326</v>
      </c>
    </row>
    <row r="33" spans="1:13" ht="16.2" thickBot="1" x14ac:dyDescent="0.35">
      <c r="A33" s="64" t="s">
        <v>133</v>
      </c>
      <c r="B33" s="64">
        <v>117131</v>
      </c>
      <c r="C33" s="35">
        <f t="shared" si="0"/>
        <v>14</v>
      </c>
      <c r="D33" s="35">
        <f t="shared" si="1"/>
        <v>11</v>
      </c>
      <c r="E33" s="15">
        <v>1</v>
      </c>
      <c r="F33" s="65" t="s">
        <v>299</v>
      </c>
      <c r="G33" s="15" t="s">
        <v>300</v>
      </c>
      <c r="H33" s="15">
        <v>14</v>
      </c>
      <c r="I33" s="15">
        <f t="shared" si="2"/>
        <v>11</v>
      </c>
      <c r="J33" s="15">
        <v>11</v>
      </c>
      <c r="K33" s="15">
        <v>0</v>
      </c>
      <c r="L33" s="15" t="s">
        <v>99</v>
      </c>
      <c r="M33" s="15" t="s">
        <v>327</v>
      </c>
    </row>
    <row r="34" spans="1:13" ht="31.8" thickBot="1" x14ac:dyDescent="0.35">
      <c r="A34" s="64" t="s">
        <v>133</v>
      </c>
      <c r="B34" s="64">
        <v>105001</v>
      </c>
      <c r="C34" s="35">
        <f t="shared" si="0"/>
        <v>2156</v>
      </c>
      <c r="D34" s="35">
        <f t="shared" si="1"/>
        <v>2710</v>
      </c>
      <c r="E34" s="15">
        <v>1</v>
      </c>
      <c r="F34" s="65" t="s">
        <v>299</v>
      </c>
      <c r="G34" s="15" t="s">
        <v>300</v>
      </c>
      <c r="H34" s="15">
        <v>2156</v>
      </c>
      <c r="I34" s="15">
        <f t="shared" si="2"/>
        <v>2710</v>
      </c>
      <c r="J34" s="15">
        <v>2710</v>
      </c>
      <c r="K34" s="15">
        <v>0</v>
      </c>
      <c r="L34" s="15" t="s">
        <v>88</v>
      </c>
      <c r="M34" s="15" t="s">
        <v>328</v>
      </c>
    </row>
    <row r="35" spans="1:13" ht="31.8" thickBot="1" x14ac:dyDescent="0.35">
      <c r="A35" s="64" t="s">
        <v>133</v>
      </c>
      <c r="B35" s="64">
        <v>117039</v>
      </c>
      <c r="C35" s="35">
        <f t="shared" si="0"/>
        <v>9</v>
      </c>
      <c r="D35" s="35">
        <f t="shared" si="1"/>
        <v>5</v>
      </c>
      <c r="E35" s="15">
        <v>1</v>
      </c>
      <c r="F35" s="65" t="s">
        <v>299</v>
      </c>
      <c r="G35" s="15" t="s">
        <v>300</v>
      </c>
      <c r="H35" s="15">
        <v>9</v>
      </c>
      <c r="I35" s="15">
        <f t="shared" si="2"/>
        <v>5</v>
      </c>
      <c r="J35" s="15">
        <v>5</v>
      </c>
      <c r="K35" s="15">
        <v>0</v>
      </c>
      <c r="L35" s="15" t="s">
        <v>99</v>
      </c>
      <c r="M35" s="15" t="s">
        <v>329</v>
      </c>
    </row>
    <row r="36" spans="1:13" ht="409.6" thickBot="1" x14ac:dyDescent="0.35">
      <c r="A36" s="64" t="s">
        <v>133</v>
      </c>
      <c r="B36" s="64">
        <v>106003</v>
      </c>
      <c r="C36" s="35">
        <f t="shared" si="0"/>
        <v>6638.75</v>
      </c>
      <c r="D36" s="35">
        <f t="shared" si="1"/>
        <v>8084.4375</v>
      </c>
      <c r="E36" s="15">
        <v>16</v>
      </c>
      <c r="F36" s="65">
        <v>1</v>
      </c>
      <c r="G36" s="15" t="s">
        <v>300</v>
      </c>
      <c r="H36" s="15">
        <v>106220</v>
      </c>
      <c r="I36" s="15">
        <f t="shared" si="2"/>
        <v>129351</v>
      </c>
      <c r="J36" s="15">
        <v>129351</v>
      </c>
      <c r="K36" s="15">
        <v>0</v>
      </c>
      <c r="L36" s="15" t="s">
        <v>90</v>
      </c>
      <c r="M36" s="15" t="s">
        <v>330</v>
      </c>
    </row>
    <row r="37" spans="1:13" ht="94.2" thickBot="1" x14ac:dyDescent="0.35">
      <c r="A37" s="64" t="s">
        <v>133</v>
      </c>
      <c r="B37" s="64">
        <v>106006</v>
      </c>
      <c r="C37" s="35">
        <f t="shared" si="0"/>
        <v>241</v>
      </c>
      <c r="D37" s="35">
        <f t="shared" si="1"/>
        <v>433.33333333333331</v>
      </c>
      <c r="E37" s="15">
        <v>3</v>
      </c>
      <c r="F37" s="65" t="s">
        <v>299</v>
      </c>
      <c r="G37" s="15" t="s">
        <v>309</v>
      </c>
      <c r="H37" s="15">
        <v>723</v>
      </c>
      <c r="I37" s="15">
        <f t="shared" si="2"/>
        <v>1300</v>
      </c>
      <c r="J37" s="15">
        <v>1300</v>
      </c>
      <c r="K37" s="15">
        <v>0</v>
      </c>
      <c r="L37" s="15" t="s">
        <v>90</v>
      </c>
      <c r="M37" s="15" t="s">
        <v>331</v>
      </c>
    </row>
    <row r="38" spans="1:13" ht="47.4" thickBot="1" x14ac:dyDescent="0.35">
      <c r="A38" s="64" t="s">
        <v>133</v>
      </c>
      <c r="B38" s="64">
        <v>104004</v>
      </c>
      <c r="C38" s="35">
        <f t="shared" si="0"/>
        <v>5814</v>
      </c>
      <c r="D38" s="35">
        <f t="shared" si="1"/>
        <v>6467</v>
      </c>
      <c r="E38" s="15">
        <v>1</v>
      </c>
      <c r="F38" s="65" t="s">
        <v>299</v>
      </c>
      <c r="G38" s="15" t="s">
        <v>300</v>
      </c>
      <c r="H38" s="15">
        <v>5814</v>
      </c>
      <c r="I38" s="15">
        <f t="shared" si="2"/>
        <v>6467</v>
      </c>
      <c r="J38" s="15">
        <v>6467</v>
      </c>
      <c r="K38" s="15">
        <v>0</v>
      </c>
      <c r="L38" s="15" t="s">
        <v>100</v>
      </c>
      <c r="M38" s="15" t="s">
        <v>332</v>
      </c>
    </row>
    <row r="39" spans="1:13" ht="219" thickBot="1" x14ac:dyDescent="0.35">
      <c r="A39" s="64" t="s">
        <v>133</v>
      </c>
      <c r="B39" s="64">
        <v>103015</v>
      </c>
      <c r="C39" s="35">
        <f t="shared" si="0"/>
        <v>6164</v>
      </c>
      <c r="D39" s="35">
        <f t="shared" si="1"/>
        <v>7210</v>
      </c>
      <c r="E39" s="15">
        <v>2</v>
      </c>
      <c r="F39" s="65" t="s">
        <v>299</v>
      </c>
      <c r="G39" s="15" t="s">
        <v>300</v>
      </c>
      <c r="H39" s="15">
        <v>12328</v>
      </c>
      <c r="I39" s="15">
        <f t="shared" si="2"/>
        <v>14420</v>
      </c>
      <c r="J39" s="15">
        <v>14420</v>
      </c>
      <c r="K39" s="15">
        <v>0</v>
      </c>
      <c r="L39" s="15" t="s">
        <v>87</v>
      </c>
      <c r="M39" s="15" t="s">
        <v>333</v>
      </c>
    </row>
    <row r="40" spans="1:13" ht="16.2" thickBot="1" x14ac:dyDescent="0.35">
      <c r="A40" s="64" t="s">
        <v>133</v>
      </c>
      <c r="B40" s="64">
        <v>114003</v>
      </c>
      <c r="C40" s="35">
        <f t="shared" si="0"/>
        <v>40</v>
      </c>
      <c r="D40" s="35">
        <f t="shared" si="1"/>
        <v>30</v>
      </c>
      <c r="E40" s="15">
        <v>1</v>
      </c>
      <c r="F40" s="65" t="s">
        <v>299</v>
      </c>
      <c r="G40" s="15" t="s">
        <v>300</v>
      </c>
      <c r="H40" s="15">
        <v>40</v>
      </c>
      <c r="I40" s="15">
        <f t="shared" si="2"/>
        <v>30</v>
      </c>
      <c r="J40" s="15">
        <v>30</v>
      </c>
      <c r="K40" s="15">
        <v>0</v>
      </c>
      <c r="L40" s="15" t="s">
        <v>96</v>
      </c>
      <c r="M40" s="15" t="s">
        <v>334</v>
      </c>
    </row>
    <row r="41" spans="1:13" ht="31.8" thickBot="1" x14ac:dyDescent="0.35">
      <c r="A41" s="64" t="s">
        <v>133</v>
      </c>
      <c r="B41" s="64">
        <v>106004</v>
      </c>
      <c r="C41" s="35">
        <f t="shared" si="0"/>
        <v>730.5</v>
      </c>
      <c r="D41" s="35">
        <f t="shared" si="1"/>
        <v>733</v>
      </c>
      <c r="E41" s="15">
        <v>2</v>
      </c>
      <c r="F41" s="65" t="s">
        <v>299</v>
      </c>
      <c r="G41" s="15" t="s">
        <v>300</v>
      </c>
      <c r="H41" s="15">
        <v>1461</v>
      </c>
      <c r="I41" s="15">
        <f t="shared" si="2"/>
        <v>1466</v>
      </c>
      <c r="J41" s="15">
        <v>1466</v>
      </c>
      <c r="K41" s="15">
        <v>0</v>
      </c>
      <c r="L41" s="15" t="s">
        <v>90</v>
      </c>
      <c r="M41" s="15" t="s">
        <v>335</v>
      </c>
    </row>
    <row r="42" spans="1:13" ht="94.2" thickBot="1" x14ac:dyDescent="0.35">
      <c r="A42" s="64" t="s">
        <v>133</v>
      </c>
      <c r="B42" s="64">
        <v>108002</v>
      </c>
      <c r="C42" s="35">
        <f t="shared" si="0"/>
        <v>2485.5</v>
      </c>
      <c r="D42" s="35">
        <f t="shared" si="1"/>
        <v>3055</v>
      </c>
      <c r="E42" s="15">
        <v>2</v>
      </c>
      <c r="F42" s="65" t="s">
        <v>299</v>
      </c>
      <c r="G42" s="15" t="s">
        <v>300</v>
      </c>
      <c r="H42" s="15">
        <v>4971</v>
      </c>
      <c r="I42" s="15">
        <f t="shared" si="2"/>
        <v>6110</v>
      </c>
      <c r="J42" s="15">
        <v>6110</v>
      </c>
      <c r="K42" s="15">
        <v>0</v>
      </c>
      <c r="L42" s="15" t="s">
        <v>92</v>
      </c>
      <c r="M42" s="15" t="s">
        <v>336</v>
      </c>
    </row>
    <row r="43" spans="1:13" ht="16.2" thickBot="1" x14ac:dyDescent="0.35">
      <c r="A43" s="64" t="s">
        <v>133</v>
      </c>
      <c r="B43" s="64">
        <v>108004</v>
      </c>
      <c r="C43" s="35">
        <f t="shared" si="0"/>
        <v>87</v>
      </c>
      <c r="D43" s="35">
        <f t="shared" si="1"/>
        <v>111</v>
      </c>
      <c r="E43" s="15">
        <v>1</v>
      </c>
      <c r="F43" s="65" t="s">
        <v>299</v>
      </c>
      <c r="G43" s="15" t="s">
        <v>300</v>
      </c>
      <c r="H43" s="15">
        <v>87</v>
      </c>
      <c r="I43" s="15">
        <f t="shared" si="2"/>
        <v>111</v>
      </c>
      <c r="J43" s="15">
        <v>111</v>
      </c>
      <c r="K43" s="15">
        <v>0</v>
      </c>
      <c r="L43" s="15" t="s">
        <v>92</v>
      </c>
      <c r="M43" s="15" t="s">
        <v>337</v>
      </c>
    </row>
    <row r="44" spans="1:13" ht="63" thickBot="1" x14ac:dyDescent="0.35">
      <c r="A44" s="64" t="s">
        <v>133</v>
      </c>
      <c r="B44" s="64">
        <v>108003</v>
      </c>
      <c r="C44" s="35">
        <f t="shared" si="0"/>
        <v>1253</v>
      </c>
      <c r="D44" s="35">
        <f t="shared" si="1"/>
        <v>1761</v>
      </c>
      <c r="E44" s="15">
        <v>3</v>
      </c>
      <c r="F44" s="65">
        <v>1</v>
      </c>
      <c r="G44" s="15" t="s">
        <v>300</v>
      </c>
      <c r="H44" s="15">
        <v>3759</v>
      </c>
      <c r="I44" s="15">
        <f t="shared" si="2"/>
        <v>5283</v>
      </c>
      <c r="J44" s="15">
        <v>5283</v>
      </c>
      <c r="K44" s="15">
        <v>0</v>
      </c>
      <c r="L44" s="15" t="s">
        <v>92</v>
      </c>
      <c r="M44" s="15" t="s">
        <v>338</v>
      </c>
    </row>
    <row r="45" spans="1:13" ht="47.4" thickBot="1" x14ac:dyDescent="0.35">
      <c r="A45" s="64" t="s">
        <v>133</v>
      </c>
      <c r="B45" s="64">
        <v>104031</v>
      </c>
      <c r="C45" s="35">
        <f t="shared" si="0"/>
        <v>129</v>
      </c>
      <c r="D45" s="35">
        <f t="shared" si="1"/>
        <v>194</v>
      </c>
      <c r="E45" s="15">
        <v>1</v>
      </c>
      <c r="F45" s="65" t="s">
        <v>299</v>
      </c>
      <c r="G45" s="15" t="s">
        <v>300</v>
      </c>
      <c r="H45" s="15">
        <v>129</v>
      </c>
      <c r="I45" s="15">
        <f t="shared" si="2"/>
        <v>194</v>
      </c>
      <c r="J45" s="15">
        <v>194</v>
      </c>
      <c r="K45" s="15">
        <v>0</v>
      </c>
      <c r="L45" s="15" t="s">
        <v>100</v>
      </c>
      <c r="M45" s="15" t="s">
        <v>339</v>
      </c>
    </row>
    <row r="46" spans="1:13" ht="16.2" thickBot="1" x14ac:dyDescent="0.35">
      <c r="A46" s="64" t="s">
        <v>133</v>
      </c>
      <c r="B46" s="64">
        <v>110019</v>
      </c>
      <c r="C46" s="35">
        <f t="shared" si="0"/>
        <v>829</v>
      </c>
      <c r="D46" s="35">
        <f t="shared" si="1"/>
        <v>864</v>
      </c>
      <c r="E46" s="15">
        <v>1</v>
      </c>
      <c r="F46" s="65" t="s">
        <v>299</v>
      </c>
      <c r="G46" s="15" t="s">
        <v>300</v>
      </c>
      <c r="H46" s="15">
        <v>829</v>
      </c>
      <c r="I46" s="15">
        <f t="shared" si="2"/>
        <v>864</v>
      </c>
      <c r="J46" s="15">
        <v>864</v>
      </c>
      <c r="K46" s="15">
        <v>0</v>
      </c>
      <c r="L46" s="15" t="s">
        <v>93</v>
      </c>
      <c r="M46" s="15" t="s">
        <v>340</v>
      </c>
    </row>
    <row r="47" spans="1:13" ht="16.2" thickBot="1" x14ac:dyDescent="0.35">
      <c r="A47" s="64" t="s">
        <v>133</v>
      </c>
      <c r="B47" s="64">
        <v>105002</v>
      </c>
      <c r="C47" s="35">
        <f t="shared" si="0"/>
        <v>309</v>
      </c>
      <c r="D47" s="35">
        <f t="shared" si="1"/>
        <v>340</v>
      </c>
      <c r="E47" s="15">
        <v>1</v>
      </c>
      <c r="F47" s="65" t="s">
        <v>299</v>
      </c>
      <c r="G47" s="15" t="s">
        <v>300</v>
      </c>
      <c r="H47" s="15">
        <v>309</v>
      </c>
      <c r="I47" s="15">
        <f t="shared" si="2"/>
        <v>340</v>
      </c>
      <c r="J47" s="15">
        <v>340</v>
      </c>
      <c r="K47" s="15">
        <v>0</v>
      </c>
      <c r="L47" s="15" t="s">
        <v>88</v>
      </c>
      <c r="M47" s="15" t="s">
        <v>341</v>
      </c>
    </row>
    <row r="48" spans="1:13" ht="47.4" thickBot="1" x14ac:dyDescent="0.35">
      <c r="A48" s="64" t="s">
        <v>133</v>
      </c>
      <c r="B48" s="64">
        <v>118013</v>
      </c>
      <c r="C48" s="35">
        <f t="shared" si="0"/>
        <v>1276</v>
      </c>
      <c r="D48" s="35">
        <f t="shared" si="1"/>
        <v>1898</v>
      </c>
      <c r="E48" s="15">
        <v>1</v>
      </c>
      <c r="F48" s="65" t="s">
        <v>299</v>
      </c>
      <c r="G48" s="15" t="s">
        <v>300</v>
      </c>
      <c r="H48" s="15">
        <v>1276</v>
      </c>
      <c r="I48" s="15">
        <f t="shared" si="2"/>
        <v>1898</v>
      </c>
      <c r="J48" s="15">
        <v>1898</v>
      </c>
      <c r="K48" s="15">
        <v>0</v>
      </c>
      <c r="L48" s="15" t="s">
        <v>85</v>
      </c>
      <c r="M48" s="15" t="s">
        <v>342</v>
      </c>
    </row>
    <row r="49" spans="1:13" ht="31.8" thickBot="1" x14ac:dyDescent="0.35">
      <c r="A49" s="64" t="s">
        <v>133</v>
      </c>
      <c r="B49" s="64">
        <v>116070</v>
      </c>
      <c r="C49" s="35">
        <f t="shared" si="0"/>
        <v>465</v>
      </c>
      <c r="D49" s="35">
        <f t="shared" si="1"/>
        <v>482</v>
      </c>
      <c r="E49" s="15">
        <v>1</v>
      </c>
      <c r="F49" s="65" t="s">
        <v>299</v>
      </c>
      <c r="G49" s="15" t="s">
        <v>300</v>
      </c>
      <c r="H49" s="15">
        <v>465</v>
      </c>
      <c r="I49" s="15">
        <f t="shared" si="2"/>
        <v>482</v>
      </c>
      <c r="J49" s="15">
        <v>482</v>
      </c>
      <c r="K49" s="15">
        <v>0</v>
      </c>
      <c r="L49" s="15" t="s">
        <v>98</v>
      </c>
      <c r="M49" s="15" t="s">
        <v>343</v>
      </c>
    </row>
    <row r="50" spans="1:13" ht="16.2" thickBot="1" x14ac:dyDescent="0.35">
      <c r="A50" s="64" t="s">
        <v>133</v>
      </c>
      <c r="B50" s="64">
        <v>106005</v>
      </c>
      <c r="C50" s="35">
        <f t="shared" si="0"/>
        <v>712</v>
      </c>
      <c r="D50" s="35">
        <f t="shared" si="1"/>
        <v>703</v>
      </c>
      <c r="E50" s="15">
        <v>1</v>
      </c>
      <c r="F50" s="65" t="s">
        <v>299</v>
      </c>
      <c r="G50" s="15" t="s">
        <v>300</v>
      </c>
      <c r="H50" s="15">
        <v>712</v>
      </c>
      <c r="I50" s="15">
        <f t="shared" si="2"/>
        <v>703</v>
      </c>
      <c r="J50" s="15">
        <v>703</v>
      </c>
      <c r="K50" s="15">
        <v>0</v>
      </c>
      <c r="L50" s="15" t="s">
        <v>90</v>
      </c>
      <c r="M50" s="15" t="s">
        <v>344</v>
      </c>
    </row>
    <row r="51" spans="1:13" ht="31.8" thickBot="1" x14ac:dyDescent="0.35">
      <c r="A51" s="64" t="s">
        <v>133</v>
      </c>
      <c r="B51" s="64">
        <v>111002</v>
      </c>
      <c r="C51" s="35">
        <f t="shared" si="0"/>
        <v>1550</v>
      </c>
      <c r="D51" s="35">
        <f t="shared" si="1"/>
        <v>2020</v>
      </c>
      <c r="E51" s="15">
        <v>1</v>
      </c>
      <c r="F51" s="65" t="s">
        <v>299</v>
      </c>
      <c r="G51" s="15" t="s">
        <v>300</v>
      </c>
      <c r="H51" s="15">
        <v>1550</v>
      </c>
      <c r="I51" s="15">
        <f t="shared" si="2"/>
        <v>2020</v>
      </c>
      <c r="J51" s="15">
        <v>2020</v>
      </c>
      <c r="K51" s="15">
        <v>0</v>
      </c>
      <c r="L51" s="15" t="s">
        <v>94</v>
      </c>
      <c r="M51" s="15" t="s">
        <v>345</v>
      </c>
    </row>
    <row r="52" spans="1:13" ht="16.2" thickBot="1" x14ac:dyDescent="0.35">
      <c r="A52" s="64" t="s">
        <v>133</v>
      </c>
      <c r="B52" s="64">
        <v>110020</v>
      </c>
      <c r="C52" s="35">
        <f t="shared" si="0"/>
        <v>729.5</v>
      </c>
      <c r="D52" s="35">
        <f t="shared" si="1"/>
        <v>776.5</v>
      </c>
      <c r="E52" s="15">
        <v>2</v>
      </c>
      <c r="F52" s="65" t="s">
        <v>299</v>
      </c>
      <c r="G52" s="15" t="s">
        <v>300</v>
      </c>
      <c r="H52" s="15">
        <v>1459</v>
      </c>
      <c r="I52" s="15">
        <f t="shared" si="2"/>
        <v>1553</v>
      </c>
      <c r="J52" s="15">
        <v>1553</v>
      </c>
      <c r="K52" s="15">
        <v>0</v>
      </c>
      <c r="L52" s="15" t="s">
        <v>93</v>
      </c>
      <c r="M52" s="15" t="s">
        <v>346</v>
      </c>
    </row>
    <row r="53" spans="1:13" ht="31.8" thickBot="1" x14ac:dyDescent="0.35">
      <c r="A53" s="64" t="s">
        <v>133</v>
      </c>
      <c r="B53" s="64">
        <v>110035</v>
      </c>
      <c r="C53" s="35">
        <f t="shared" si="0"/>
        <v>42</v>
      </c>
      <c r="D53" s="35">
        <f t="shared" si="1"/>
        <v>46</v>
      </c>
      <c r="E53" s="15">
        <v>1</v>
      </c>
      <c r="F53" s="65" t="s">
        <v>299</v>
      </c>
      <c r="G53" s="15" t="s">
        <v>300</v>
      </c>
      <c r="H53" s="15">
        <v>42</v>
      </c>
      <c r="I53" s="15">
        <f t="shared" si="2"/>
        <v>46</v>
      </c>
      <c r="J53" s="15">
        <v>46</v>
      </c>
      <c r="K53" s="15">
        <v>0</v>
      </c>
      <c r="L53" s="15" t="s">
        <v>93</v>
      </c>
      <c r="M53" s="15" t="s">
        <v>347</v>
      </c>
    </row>
    <row r="54" spans="1:13" ht="16.2" thickBot="1" x14ac:dyDescent="0.35">
      <c r="A54" s="64" t="s">
        <v>133</v>
      </c>
      <c r="B54" s="64">
        <v>110041</v>
      </c>
      <c r="C54" s="35">
        <f t="shared" si="0"/>
        <v>109</v>
      </c>
      <c r="D54" s="35">
        <f t="shared" si="1"/>
        <v>161</v>
      </c>
      <c r="E54" s="15">
        <v>1</v>
      </c>
      <c r="F54" s="65" t="s">
        <v>299</v>
      </c>
      <c r="G54" s="15" t="s">
        <v>300</v>
      </c>
      <c r="H54" s="15">
        <v>109</v>
      </c>
      <c r="I54" s="15">
        <f t="shared" si="2"/>
        <v>161</v>
      </c>
      <c r="J54" s="15">
        <v>161</v>
      </c>
      <c r="K54" s="15">
        <v>0</v>
      </c>
      <c r="L54" s="15" t="s">
        <v>93</v>
      </c>
      <c r="M54" s="15" t="s">
        <v>348</v>
      </c>
    </row>
    <row r="55" spans="1:13" ht="31.8" thickBot="1" x14ac:dyDescent="0.35">
      <c r="A55" s="64" t="s">
        <v>133</v>
      </c>
      <c r="B55" s="64">
        <v>108005</v>
      </c>
      <c r="C55" s="35">
        <f t="shared" si="0"/>
        <v>1567</v>
      </c>
      <c r="D55" s="35">
        <f t="shared" si="1"/>
        <v>1985</v>
      </c>
      <c r="E55" s="15">
        <v>1</v>
      </c>
      <c r="F55" s="65" t="s">
        <v>299</v>
      </c>
      <c r="G55" s="15" t="s">
        <v>300</v>
      </c>
      <c r="H55" s="15">
        <v>1567</v>
      </c>
      <c r="I55" s="15">
        <f t="shared" si="2"/>
        <v>1985</v>
      </c>
      <c r="J55" s="15">
        <v>1985</v>
      </c>
      <c r="K55" s="15">
        <v>0</v>
      </c>
      <c r="L55" s="15" t="s">
        <v>92</v>
      </c>
      <c r="M55" s="15" t="s">
        <v>349</v>
      </c>
    </row>
    <row r="56" spans="1:13" ht="31.8" thickBot="1" x14ac:dyDescent="0.35">
      <c r="A56" s="64" t="s">
        <v>133</v>
      </c>
      <c r="B56" s="64">
        <v>110061</v>
      </c>
      <c r="C56" s="35">
        <f t="shared" si="0"/>
        <v>71</v>
      </c>
      <c r="D56" s="35">
        <f t="shared" si="1"/>
        <v>111</v>
      </c>
      <c r="E56" s="15">
        <v>1</v>
      </c>
      <c r="F56" s="65" t="s">
        <v>299</v>
      </c>
      <c r="G56" s="15" t="s">
        <v>300</v>
      </c>
      <c r="H56" s="15">
        <v>71</v>
      </c>
      <c r="I56" s="15">
        <f t="shared" si="2"/>
        <v>111</v>
      </c>
      <c r="J56" s="15">
        <v>111</v>
      </c>
      <c r="K56" s="15">
        <v>0</v>
      </c>
      <c r="L56" s="15" t="s">
        <v>93</v>
      </c>
      <c r="M56" s="15" t="s">
        <v>350</v>
      </c>
    </row>
    <row r="57" spans="1:13" ht="31.8" thickBot="1" x14ac:dyDescent="0.35">
      <c r="A57" s="64" t="s">
        <v>133</v>
      </c>
      <c r="B57" s="64">
        <v>112003</v>
      </c>
      <c r="C57" s="35">
        <f t="shared" si="0"/>
        <v>240</v>
      </c>
      <c r="D57" s="35">
        <f t="shared" si="1"/>
        <v>371</v>
      </c>
      <c r="E57" s="15">
        <v>1</v>
      </c>
      <c r="F57" s="65" t="s">
        <v>299</v>
      </c>
      <c r="G57" s="15" t="s">
        <v>300</v>
      </c>
      <c r="H57" s="15">
        <v>240</v>
      </c>
      <c r="I57" s="15">
        <f t="shared" si="2"/>
        <v>371</v>
      </c>
      <c r="J57" s="15">
        <v>371</v>
      </c>
      <c r="K57" s="15">
        <v>0</v>
      </c>
      <c r="L57" s="15" t="s">
        <v>95</v>
      </c>
      <c r="M57" s="15" t="s">
        <v>351</v>
      </c>
    </row>
    <row r="58" spans="1:13" ht="31.8" thickBot="1" x14ac:dyDescent="0.35">
      <c r="A58" s="64" t="s">
        <v>133</v>
      </c>
      <c r="B58" s="64">
        <v>118030</v>
      </c>
      <c r="C58" s="35">
        <f t="shared" si="0"/>
        <v>826.5</v>
      </c>
      <c r="D58" s="35">
        <f t="shared" si="1"/>
        <v>1220.5</v>
      </c>
      <c r="E58" s="15">
        <v>2</v>
      </c>
      <c r="F58" s="65" t="s">
        <v>299</v>
      </c>
      <c r="G58" s="15" t="s">
        <v>300</v>
      </c>
      <c r="H58" s="15">
        <v>1653</v>
      </c>
      <c r="I58" s="15">
        <f t="shared" si="2"/>
        <v>2441</v>
      </c>
      <c r="J58" s="15">
        <v>2441</v>
      </c>
      <c r="K58" s="15">
        <v>0</v>
      </c>
      <c r="L58" s="15" t="s">
        <v>85</v>
      </c>
      <c r="M58" s="15" t="s">
        <v>352</v>
      </c>
    </row>
    <row r="59" spans="1:13" ht="16.2" thickBot="1" x14ac:dyDescent="0.35">
      <c r="A59" s="64" t="s">
        <v>133</v>
      </c>
      <c r="B59" s="64">
        <v>118152</v>
      </c>
      <c r="C59" s="35">
        <f t="shared" si="0"/>
        <v>15</v>
      </c>
      <c r="D59" s="35">
        <f t="shared" si="1"/>
        <v>78</v>
      </c>
      <c r="E59" s="15">
        <v>1</v>
      </c>
      <c r="F59" s="65" t="s">
        <v>299</v>
      </c>
      <c r="G59" s="15" t="s">
        <v>300</v>
      </c>
      <c r="H59" s="15">
        <v>15</v>
      </c>
      <c r="I59" s="15">
        <f t="shared" si="2"/>
        <v>78</v>
      </c>
      <c r="J59" s="15">
        <v>78</v>
      </c>
      <c r="K59" s="15">
        <v>0</v>
      </c>
      <c r="L59" s="15" t="s">
        <v>87</v>
      </c>
      <c r="M59" s="15" t="s">
        <v>353</v>
      </c>
    </row>
    <row r="60" spans="1:13" ht="16.2" thickBot="1" x14ac:dyDescent="0.35">
      <c r="A60" s="64" t="s">
        <v>133</v>
      </c>
      <c r="B60" s="64">
        <v>110083</v>
      </c>
      <c r="C60" s="35">
        <f t="shared" si="0"/>
        <v>8</v>
      </c>
      <c r="D60" s="35">
        <f t="shared" si="1"/>
        <v>9</v>
      </c>
      <c r="E60" s="15">
        <v>1</v>
      </c>
      <c r="F60" s="65" t="s">
        <v>299</v>
      </c>
      <c r="G60" s="15" t="s">
        <v>300</v>
      </c>
      <c r="H60" s="15">
        <v>8</v>
      </c>
      <c r="I60" s="15">
        <f t="shared" si="2"/>
        <v>9</v>
      </c>
      <c r="J60" s="15">
        <v>9</v>
      </c>
      <c r="K60" s="15">
        <v>0</v>
      </c>
      <c r="L60" s="15" t="s">
        <v>93</v>
      </c>
      <c r="M60" s="15" t="s">
        <v>354</v>
      </c>
    </row>
    <row r="61" spans="1:13" ht="359.4" thickBot="1" x14ac:dyDescent="0.35">
      <c r="A61" s="64" t="s">
        <v>133</v>
      </c>
      <c r="B61" s="64">
        <v>117030</v>
      </c>
      <c r="C61" s="35">
        <f t="shared" si="0"/>
        <v>2136.8000000000002</v>
      </c>
      <c r="D61" s="35">
        <f t="shared" si="1"/>
        <v>2414.6999999999998</v>
      </c>
      <c r="E61" s="15">
        <v>10</v>
      </c>
      <c r="F61" s="65" t="s">
        <v>299</v>
      </c>
      <c r="G61" s="15" t="s">
        <v>300</v>
      </c>
      <c r="H61" s="15">
        <v>21368</v>
      </c>
      <c r="I61" s="15">
        <f t="shared" si="2"/>
        <v>24147</v>
      </c>
      <c r="J61" s="15">
        <v>24147</v>
      </c>
      <c r="K61" s="15">
        <v>0</v>
      </c>
      <c r="L61" s="15" t="s">
        <v>99</v>
      </c>
      <c r="M61" s="15" t="s">
        <v>355</v>
      </c>
    </row>
    <row r="62" spans="1:13" ht="409.6" thickBot="1" x14ac:dyDescent="0.35">
      <c r="A62" s="64" t="s">
        <v>133</v>
      </c>
      <c r="B62" s="64">
        <v>110021</v>
      </c>
      <c r="C62" s="35">
        <f t="shared" si="0"/>
        <v>10218.333333333334</v>
      </c>
      <c r="D62" s="35">
        <f t="shared" si="1"/>
        <v>15536.666666666666</v>
      </c>
      <c r="E62" s="15">
        <v>3</v>
      </c>
      <c r="F62" s="65" t="s">
        <v>299</v>
      </c>
      <c r="G62" s="15" t="s">
        <v>300</v>
      </c>
      <c r="H62" s="15">
        <v>30655</v>
      </c>
      <c r="I62" s="15">
        <f t="shared" si="2"/>
        <v>46610</v>
      </c>
      <c r="J62" s="15">
        <v>46610</v>
      </c>
      <c r="K62" s="15">
        <v>0</v>
      </c>
      <c r="L62" s="15" t="s">
        <v>93</v>
      </c>
      <c r="M62" s="15" t="s">
        <v>356</v>
      </c>
    </row>
    <row r="63" spans="1:13" ht="63" thickBot="1" x14ac:dyDescent="0.35">
      <c r="A63" s="64" t="s">
        <v>133</v>
      </c>
      <c r="B63" s="64">
        <v>110022</v>
      </c>
      <c r="C63" s="35">
        <f t="shared" si="0"/>
        <v>169.6</v>
      </c>
      <c r="D63" s="35">
        <f t="shared" si="1"/>
        <v>283.2</v>
      </c>
      <c r="E63" s="15">
        <v>5</v>
      </c>
      <c r="F63" s="65" t="s">
        <v>299</v>
      </c>
      <c r="G63" s="15" t="s">
        <v>309</v>
      </c>
      <c r="H63" s="15">
        <v>848</v>
      </c>
      <c r="I63" s="15">
        <f t="shared" si="2"/>
        <v>1416</v>
      </c>
      <c r="J63" s="15">
        <v>1416</v>
      </c>
      <c r="K63" s="15">
        <v>0</v>
      </c>
      <c r="L63" s="15" t="s">
        <v>93</v>
      </c>
      <c r="M63" s="15" t="s">
        <v>357</v>
      </c>
    </row>
    <row r="64" spans="1:13" ht="16.2" thickBot="1" x14ac:dyDescent="0.35">
      <c r="A64" s="64" t="s">
        <v>133</v>
      </c>
      <c r="B64" s="64">
        <v>117002</v>
      </c>
      <c r="C64" s="35">
        <f t="shared" si="0"/>
        <v>1122</v>
      </c>
      <c r="D64" s="35">
        <f t="shared" si="1"/>
        <v>1062</v>
      </c>
      <c r="E64" s="15">
        <v>1</v>
      </c>
      <c r="F64" s="65" t="s">
        <v>299</v>
      </c>
      <c r="G64" s="15" t="s">
        <v>300</v>
      </c>
      <c r="H64" s="15">
        <v>1122</v>
      </c>
      <c r="I64" s="15">
        <f t="shared" si="2"/>
        <v>1062</v>
      </c>
      <c r="J64" s="15">
        <v>1062</v>
      </c>
      <c r="K64" s="15">
        <v>0</v>
      </c>
      <c r="L64" s="15" t="s">
        <v>99</v>
      </c>
      <c r="M64" s="15" t="s">
        <v>358</v>
      </c>
    </row>
    <row r="65" spans="1:13" ht="47.4" thickBot="1" x14ac:dyDescent="0.35">
      <c r="A65" s="64" t="s">
        <v>133</v>
      </c>
      <c r="B65" s="64">
        <v>117003</v>
      </c>
      <c r="C65" s="35">
        <f t="shared" si="0"/>
        <v>3244</v>
      </c>
      <c r="D65" s="35">
        <f t="shared" si="1"/>
        <v>3700</v>
      </c>
      <c r="E65" s="15">
        <v>1</v>
      </c>
      <c r="F65" s="65" t="s">
        <v>299</v>
      </c>
      <c r="G65" s="15" t="s">
        <v>300</v>
      </c>
      <c r="H65" s="15">
        <v>3244</v>
      </c>
      <c r="I65" s="15">
        <f t="shared" si="2"/>
        <v>3700</v>
      </c>
      <c r="J65" s="15">
        <v>3700</v>
      </c>
      <c r="K65" s="15">
        <v>0</v>
      </c>
      <c r="L65" s="15" t="s">
        <v>99</v>
      </c>
      <c r="M65" s="15" t="s">
        <v>359</v>
      </c>
    </row>
    <row r="66" spans="1:13" ht="16.2" thickBot="1" x14ac:dyDescent="0.35">
      <c r="A66" s="64" t="s">
        <v>133</v>
      </c>
      <c r="B66" s="64">
        <v>111003</v>
      </c>
      <c r="C66" s="35">
        <f t="shared" si="0"/>
        <v>215</v>
      </c>
      <c r="D66" s="35">
        <f t="shared" si="1"/>
        <v>224</v>
      </c>
      <c r="E66" s="15">
        <v>1</v>
      </c>
      <c r="F66" s="65" t="s">
        <v>299</v>
      </c>
      <c r="G66" s="15" t="s">
        <v>300</v>
      </c>
      <c r="H66" s="15">
        <v>215</v>
      </c>
      <c r="I66" s="15">
        <f t="shared" si="2"/>
        <v>224</v>
      </c>
      <c r="J66" s="15">
        <v>224</v>
      </c>
      <c r="K66" s="15">
        <v>0</v>
      </c>
      <c r="L66" s="15" t="s">
        <v>94</v>
      </c>
      <c r="M66" s="15" t="s">
        <v>360</v>
      </c>
    </row>
    <row r="67" spans="1:13" ht="16.2" thickBot="1" x14ac:dyDescent="0.35">
      <c r="A67" s="64" t="s">
        <v>133</v>
      </c>
      <c r="B67" s="64">
        <v>110059</v>
      </c>
      <c r="C67" s="35">
        <f t="shared" si="0"/>
        <v>95</v>
      </c>
      <c r="D67" s="35">
        <f t="shared" si="1"/>
        <v>50</v>
      </c>
      <c r="E67" s="15">
        <v>1</v>
      </c>
      <c r="F67" s="65" t="s">
        <v>299</v>
      </c>
      <c r="G67" s="15" t="s">
        <v>300</v>
      </c>
      <c r="H67" s="15">
        <v>95</v>
      </c>
      <c r="I67" s="15">
        <f t="shared" si="2"/>
        <v>50</v>
      </c>
      <c r="J67" s="15">
        <v>50</v>
      </c>
      <c r="K67" s="15">
        <v>0</v>
      </c>
      <c r="L67" s="15" t="s">
        <v>93</v>
      </c>
      <c r="M67" s="15" t="s">
        <v>361</v>
      </c>
    </row>
    <row r="68" spans="1:13" ht="16.2" thickBot="1" x14ac:dyDescent="0.35">
      <c r="A68" s="64" t="s">
        <v>133</v>
      </c>
      <c r="B68" s="64">
        <v>112073</v>
      </c>
      <c r="C68" s="35">
        <f t="shared" si="0"/>
        <v>168</v>
      </c>
      <c r="D68" s="35">
        <f t="shared" si="1"/>
        <v>174</v>
      </c>
      <c r="E68" s="15">
        <v>1</v>
      </c>
      <c r="F68" s="65" t="s">
        <v>299</v>
      </c>
      <c r="G68" s="15" t="s">
        <v>300</v>
      </c>
      <c r="H68" s="15">
        <v>168</v>
      </c>
      <c r="I68" s="15">
        <f t="shared" si="2"/>
        <v>174</v>
      </c>
      <c r="J68" s="15">
        <v>174</v>
      </c>
      <c r="K68" s="15">
        <v>0</v>
      </c>
      <c r="L68" s="15" t="s">
        <v>95</v>
      </c>
      <c r="M68" s="15" t="s">
        <v>362</v>
      </c>
    </row>
    <row r="69" spans="1:13" ht="281.39999999999998" thickBot="1" x14ac:dyDescent="0.35">
      <c r="A69" s="64" t="s">
        <v>133</v>
      </c>
      <c r="B69" s="64">
        <v>103002</v>
      </c>
      <c r="C69" s="35">
        <f t="shared" si="0"/>
        <v>16378</v>
      </c>
      <c r="D69" s="35">
        <f t="shared" si="1"/>
        <v>20376</v>
      </c>
      <c r="E69" s="15">
        <v>1</v>
      </c>
      <c r="F69" s="65" t="s">
        <v>299</v>
      </c>
      <c r="G69" s="15" t="s">
        <v>300</v>
      </c>
      <c r="H69" s="15">
        <v>16378</v>
      </c>
      <c r="I69" s="15">
        <f t="shared" si="2"/>
        <v>20376</v>
      </c>
      <c r="J69" s="15">
        <v>20376</v>
      </c>
      <c r="K69" s="15">
        <v>0</v>
      </c>
      <c r="L69" s="15" t="s">
        <v>87</v>
      </c>
      <c r="M69" s="15" t="s">
        <v>363</v>
      </c>
    </row>
    <row r="70" spans="1:13" ht="47.4" thickBot="1" x14ac:dyDescent="0.35">
      <c r="A70" s="64" t="s">
        <v>133</v>
      </c>
      <c r="B70" s="64">
        <v>109004</v>
      </c>
      <c r="C70" s="35">
        <f t="shared" si="0"/>
        <v>1299.5</v>
      </c>
      <c r="D70" s="35">
        <f t="shared" si="1"/>
        <v>1497.5</v>
      </c>
      <c r="E70" s="15">
        <v>2</v>
      </c>
      <c r="F70" s="65">
        <v>1</v>
      </c>
      <c r="G70" s="15" t="s">
        <v>300</v>
      </c>
      <c r="H70" s="15">
        <v>2599</v>
      </c>
      <c r="I70" s="15">
        <f t="shared" si="2"/>
        <v>2995</v>
      </c>
      <c r="J70" s="15">
        <v>2995</v>
      </c>
      <c r="K70" s="15">
        <v>0</v>
      </c>
      <c r="L70" s="15" t="s">
        <v>97</v>
      </c>
      <c r="M70" s="15" t="s">
        <v>364</v>
      </c>
    </row>
    <row r="71" spans="1:13" ht="16.2" thickBot="1" x14ac:dyDescent="0.35">
      <c r="A71" s="64" t="s">
        <v>133</v>
      </c>
      <c r="B71" s="64">
        <v>112041</v>
      </c>
      <c r="C71" s="35">
        <f t="shared" si="0"/>
        <v>25</v>
      </c>
      <c r="D71" s="35">
        <f t="shared" si="1"/>
        <v>12</v>
      </c>
      <c r="E71" s="15">
        <v>1</v>
      </c>
      <c r="F71" s="65" t="s">
        <v>299</v>
      </c>
      <c r="G71" s="15" t="s">
        <v>300</v>
      </c>
      <c r="H71" s="15">
        <v>25</v>
      </c>
      <c r="I71" s="15">
        <f t="shared" si="2"/>
        <v>12</v>
      </c>
      <c r="J71" s="15">
        <v>12</v>
      </c>
      <c r="K71" s="15">
        <v>0</v>
      </c>
      <c r="L71" s="15" t="s">
        <v>95</v>
      </c>
      <c r="M71" s="15" t="s">
        <v>365</v>
      </c>
    </row>
    <row r="72" spans="1:13" ht="16.2" thickBot="1" x14ac:dyDescent="0.35">
      <c r="A72" s="64" t="s">
        <v>133</v>
      </c>
      <c r="B72" s="64">
        <v>112043</v>
      </c>
      <c r="C72" s="35">
        <f t="shared" ref="C72:C135" si="3">H72/E72</f>
        <v>37</v>
      </c>
      <c r="D72" s="35">
        <f t="shared" ref="D72:D135" si="4">I72/E72</f>
        <v>8</v>
      </c>
      <c r="E72" s="15">
        <v>1</v>
      </c>
      <c r="F72" s="65" t="s">
        <v>299</v>
      </c>
      <c r="G72" s="15" t="s">
        <v>300</v>
      </c>
      <c r="H72" s="15">
        <v>37</v>
      </c>
      <c r="I72" s="15">
        <f t="shared" si="2"/>
        <v>8</v>
      </c>
      <c r="J72" s="15">
        <v>8</v>
      </c>
      <c r="K72" s="15">
        <v>0</v>
      </c>
      <c r="L72" s="15" t="s">
        <v>95</v>
      </c>
      <c r="M72" s="15" t="s">
        <v>365</v>
      </c>
    </row>
    <row r="73" spans="1:13" ht="16.2" thickBot="1" x14ac:dyDescent="0.35">
      <c r="A73" s="64" t="s">
        <v>133</v>
      </c>
      <c r="B73" s="64">
        <v>106046</v>
      </c>
      <c r="C73" s="35">
        <f t="shared" si="3"/>
        <v>305</v>
      </c>
      <c r="D73" s="35">
        <f t="shared" si="4"/>
        <v>387</v>
      </c>
      <c r="E73" s="15">
        <v>1</v>
      </c>
      <c r="F73" s="65" t="s">
        <v>299</v>
      </c>
      <c r="G73" s="15" t="s">
        <v>309</v>
      </c>
      <c r="H73" s="15">
        <v>305</v>
      </c>
      <c r="I73" s="15">
        <f t="shared" ref="I73:I136" si="5">SUM(J73:K73)</f>
        <v>387</v>
      </c>
      <c r="J73" s="15">
        <v>387</v>
      </c>
      <c r="K73" s="15">
        <v>0</v>
      </c>
      <c r="L73" s="15" t="s">
        <v>90</v>
      </c>
      <c r="M73" s="15" t="s">
        <v>366</v>
      </c>
    </row>
    <row r="74" spans="1:13" ht="31.8" thickBot="1" x14ac:dyDescent="0.35">
      <c r="A74" s="64" t="s">
        <v>133</v>
      </c>
      <c r="B74" s="64">
        <v>109025</v>
      </c>
      <c r="C74" s="35">
        <f t="shared" si="3"/>
        <v>7</v>
      </c>
      <c r="D74" s="35">
        <f t="shared" si="4"/>
        <v>7</v>
      </c>
      <c r="E74" s="15">
        <v>1</v>
      </c>
      <c r="F74" s="65" t="s">
        <v>299</v>
      </c>
      <c r="G74" s="15" t="s">
        <v>300</v>
      </c>
      <c r="H74" s="15">
        <v>7</v>
      </c>
      <c r="I74" s="15">
        <f t="shared" si="5"/>
        <v>7</v>
      </c>
      <c r="J74" s="15">
        <v>7</v>
      </c>
      <c r="K74" s="15">
        <v>0</v>
      </c>
      <c r="L74" s="15" t="s">
        <v>89</v>
      </c>
      <c r="M74" s="15" t="s">
        <v>367</v>
      </c>
    </row>
    <row r="75" spans="1:13" ht="31.8" thickBot="1" x14ac:dyDescent="0.35">
      <c r="A75" s="64" t="s">
        <v>133</v>
      </c>
      <c r="B75" s="64">
        <v>112009</v>
      </c>
      <c r="C75" s="35">
        <f t="shared" si="3"/>
        <v>788.66666666666663</v>
      </c>
      <c r="D75" s="35">
        <f t="shared" si="4"/>
        <v>951</v>
      </c>
      <c r="E75" s="15">
        <v>3</v>
      </c>
      <c r="F75" s="65">
        <v>1</v>
      </c>
      <c r="G75" s="15" t="s">
        <v>300</v>
      </c>
      <c r="H75" s="15">
        <v>2366</v>
      </c>
      <c r="I75" s="15">
        <f t="shared" si="5"/>
        <v>2853</v>
      </c>
      <c r="J75" s="15">
        <v>2853</v>
      </c>
      <c r="K75" s="15">
        <v>0</v>
      </c>
      <c r="L75" s="15" t="s">
        <v>95</v>
      </c>
      <c r="M75" s="15" t="s">
        <v>368</v>
      </c>
    </row>
    <row r="76" spans="1:13" ht="409.6" thickBot="1" x14ac:dyDescent="0.35">
      <c r="A76" s="64" t="s">
        <v>133</v>
      </c>
      <c r="B76" s="64">
        <v>103003</v>
      </c>
      <c r="C76" s="35">
        <f t="shared" si="3"/>
        <v>3794.9230769230771</v>
      </c>
      <c r="D76" s="35">
        <f t="shared" si="4"/>
        <v>5131.0769230769229</v>
      </c>
      <c r="E76" s="15">
        <v>13</v>
      </c>
      <c r="F76" s="65" t="s">
        <v>299</v>
      </c>
      <c r="G76" s="15" t="s">
        <v>300</v>
      </c>
      <c r="H76" s="15">
        <v>49334</v>
      </c>
      <c r="I76" s="15">
        <f t="shared" si="5"/>
        <v>66704</v>
      </c>
      <c r="J76" s="15">
        <v>66704</v>
      </c>
      <c r="K76" s="15">
        <v>0</v>
      </c>
      <c r="L76" s="15" t="s">
        <v>87</v>
      </c>
      <c r="M76" s="15" t="s">
        <v>369</v>
      </c>
    </row>
    <row r="77" spans="1:13" ht="31.8" thickBot="1" x14ac:dyDescent="0.35">
      <c r="A77" s="64" t="s">
        <v>133</v>
      </c>
      <c r="B77" s="64">
        <v>112010</v>
      </c>
      <c r="C77" s="35">
        <f t="shared" si="3"/>
        <v>3597</v>
      </c>
      <c r="D77" s="35">
        <f t="shared" si="4"/>
        <v>3674</v>
      </c>
      <c r="E77" s="15">
        <v>1</v>
      </c>
      <c r="F77" s="65" t="s">
        <v>299</v>
      </c>
      <c r="G77" s="15" t="s">
        <v>300</v>
      </c>
      <c r="H77" s="15">
        <v>3597</v>
      </c>
      <c r="I77" s="15">
        <f t="shared" si="5"/>
        <v>3674</v>
      </c>
      <c r="J77" s="15">
        <v>3674</v>
      </c>
      <c r="K77" s="15">
        <v>0</v>
      </c>
      <c r="L77" s="15" t="s">
        <v>92</v>
      </c>
      <c r="M77" s="15" t="s">
        <v>370</v>
      </c>
    </row>
    <row r="78" spans="1:13" ht="63" thickBot="1" x14ac:dyDescent="0.35">
      <c r="A78" s="64" t="s">
        <v>133</v>
      </c>
      <c r="B78" s="64">
        <v>110023</v>
      </c>
      <c r="C78" s="35">
        <f t="shared" si="3"/>
        <v>1317</v>
      </c>
      <c r="D78" s="35">
        <f t="shared" si="4"/>
        <v>1676</v>
      </c>
      <c r="E78" s="15">
        <v>2</v>
      </c>
      <c r="F78" s="65" t="s">
        <v>299</v>
      </c>
      <c r="G78" s="15" t="s">
        <v>300</v>
      </c>
      <c r="H78" s="15">
        <v>2634</v>
      </c>
      <c r="I78" s="15">
        <f t="shared" si="5"/>
        <v>3352</v>
      </c>
      <c r="J78" s="15">
        <v>3352</v>
      </c>
      <c r="K78" s="15">
        <v>0</v>
      </c>
      <c r="L78" s="15" t="s">
        <v>93</v>
      </c>
      <c r="M78" s="15" t="s">
        <v>371</v>
      </c>
    </row>
    <row r="79" spans="1:13" ht="16.2" thickBot="1" x14ac:dyDescent="0.35">
      <c r="A79" s="64" t="s">
        <v>133</v>
      </c>
      <c r="B79" s="64">
        <v>118058</v>
      </c>
      <c r="C79" s="35">
        <f t="shared" si="3"/>
        <v>307</v>
      </c>
      <c r="D79" s="35">
        <f t="shared" si="4"/>
        <v>319.5</v>
      </c>
      <c r="E79" s="15">
        <v>2</v>
      </c>
      <c r="F79" s="65" t="s">
        <v>299</v>
      </c>
      <c r="G79" s="15" t="s">
        <v>300</v>
      </c>
      <c r="H79" s="15">
        <v>614</v>
      </c>
      <c r="I79" s="15">
        <f t="shared" si="5"/>
        <v>639</v>
      </c>
      <c r="J79" s="15">
        <v>639</v>
      </c>
      <c r="K79" s="15">
        <v>0</v>
      </c>
      <c r="L79" s="15" t="s">
        <v>85</v>
      </c>
      <c r="M79" s="15" t="s">
        <v>372</v>
      </c>
    </row>
    <row r="80" spans="1:13" ht="31.8" thickBot="1" x14ac:dyDescent="0.35">
      <c r="A80" s="64" t="s">
        <v>133</v>
      </c>
      <c r="B80" s="64">
        <v>110024</v>
      </c>
      <c r="C80" s="35">
        <f t="shared" si="3"/>
        <v>1277</v>
      </c>
      <c r="D80" s="35">
        <f t="shared" si="4"/>
        <v>1408</v>
      </c>
      <c r="E80" s="15">
        <v>1</v>
      </c>
      <c r="F80" s="65" t="s">
        <v>299</v>
      </c>
      <c r="G80" s="15" t="s">
        <v>300</v>
      </c>
      <c r="H80" s="15">
        <v>1277</v>
      </c>
      <c r="I80" s="15">
        <f t="shared" si="5"/>
        <v>1408</v>
      </c>
      <c r="J80" s="15">
        <v>1408</v>
      </c>
      <c r="K80" s="15">
        <v>0</v>
      </c>
      <c r="L80" s="15" t="s">
        <v>93</v>
      </c>
      <c r="M80" s="15" t="s">
        <v>373</v>
      </c>
    </row>
    <row r="81" spans="1:13" ht="31.8" thickBot="1" x14ac:dyDescent="0.35">
      <c r="A81" s="64" t="s">
        <v>133</v>
      </c>
      <c r="B81" s="64">
        <v>104005</v>
      </c>
      <c r="C81" s="35">
        <f t="shared" si="3"/>
        <v>1202</v>
      </c>
      <c r="D81" s="35">
        <f t="shared" si="4"/>
        <v>1595</v>
      </c>
      <c r="E81" s="15">
        <v>1</v>
      </c>
      <c r="F81" s="65" t="s">
        <v>299</v>
      </c>
      <c r="G81" s="15" t="s">
        <v>300</v>
      </c>
      <c r="H81" s="15">
        <v>1202</v>
      </c>
      <c r="I81" s="15">
        <f t="shared" si="5"/>
        <v>1595</v>
      </c>
      <c r="J81" s="15">
        <v>1595</v>
      </c>
      <c r="K81" s="15">
        <v>0</v>
      </c>
      <c r="L81" s="15" t="s">
        <v>374</v>
      </c>
      <c r="M81" s="15" t="s">
        <v>375</v>
      </c>
    </row>
    <row r="82" spans="1:13" ht="31.8" thickBot="1" x14ac:dyDescent="0.35">
      <c r="A82" s="64" t="s">
        <v>133</v>
      </c>
      <c r="B82" s="64">
        <v>106024</v>
      </c>
      <c r="C82" s="35">
        <f t="shared" si="3"/>
        <v>93</v>
      </c>
      <c r="D82" s="35">
        <f t="shared" si="4"/>
        <v>95</v>
      </c>
      <c r="E82" s="15">
        <v>1</v>
      </c>
      <c r="F82" s="65" t="s">
        <v>299</v>
      </c>
      <c r="G82" s="15" t="s">
        <v>300</v>
      </c>
      <c r="H82" s="15">
        <v>93</v>
      </c>
      <c r="I82" s="15">
        <f t="shared" si="5"/>
        <v>95</v>
      </c>
      <c r="J82" s="15">
        <v>95</v>
      </c>
      <c r="K82" s="15">
        <v>0</v>
      </c>
      <c r="L82" s="15" t="s">
        <v>90</v>
      </c>
      <c r="M82" s="15" t="s">
        <v>376</v>
      </c>
    </row>
    <row r="83" spans="1:13" ht="31.8" thickBot="1" x14ac:dyDescent="0.35">
      <c r="A83" s="64" t="s">
        <v>133</v>
      </c>
      <c r="B83" s="64">
        <v>106037</v>
      </c>
      <c r="C83" s="35">
        <f t="shared" si="3"/>
        <v>10</v>
      </c>
      <c r="D83" s="35">
        <f t="shared" si="4"/>
        <v>13</v>
      </c>
      <c r="E83" s="15">
        <v>1</v>
      </c>
      <c r="F83" s="65" t="s">
        <v>299</v>
      </c>
      <c r="G83" s="15" t="s">
        <v>300</v>
      </c>
      <c r="H83" s="15">
        <v>10</v>
      </c>
      <c r="I83" s="15">
        <f t="shared" si="5"/>
        <v>13</v>
      </c>
      <c r="J83" s="15">
        <v>13</v>
      </c>
      <c r="K83" s="15">
        <v>0</v>
      </c>
      <c r="L83" s="15" t="s">
        <v>90</v>
      </c>
      <c r="M83" s="15" t="s">
        <v>377</v>
      </c>
    </row>
    <row r="84" spans="1:13" ht="47.4" thickBot="1" x14ac:dyDescent="0.35">
      <c r="A84" s="64" t="s">
        <v>133</v>
      </c>
      <c r="B84" s="64">
        <v>102001</v>
      </c>
      <c r="C84" s="35">
        <f t="shared" si="3"/>
        <v>51</v>
      </c>
      <c r="D84" s="35">
        <f t="shared" si="4"/>
        <v>187</v>
      </c>
      <c r="E84" s="15">
        <v>1</v>
      </c>
      <c r="F84" s="65">
        <v>1</v>
      </c>
      <c r="G84" s="15" t="s">
        <v>300</v>
      </c>
      <c r="H84" s="15">
        <v>51</v>
      </c>
      <c r="I84" s="15">
        <f t="shared" si="5"/>
        <v>187</v>
      </c>
      <c r="J84" s="15">
        <v>187</v>
      </c>
      <c r="K84" s="15">
        <v>0</v>
      </c>
      <c r="L84" s="15" t="s">
        <v>86</v>
      </c>
      <c r="M84" s="15" t="s">
        <v>378</v>
      </c>
    </row>
    <row r="85" spans="1:13" ht="125.4" thickBot="1" x14ac:dyDescent="0.35">
      <c r="A85" s="64" t="s">
        <v>133</v>
      </c>
      <c r="B85" s="64">
        <v>102002</v>
      </c>
      <c r="C85" s="35">
        <f t="shared" si="3"/>
        <v>1082.3333333333333</v>
      </c>
      <c r="D85" s="35">
        <f t="shared" si="4"/>
        <v>2187.6666666666665</v>
      </c>
      <c r="E85" s="15">
        <v>3</v>
      </c>
      <c r="F85" s="65" t="s">
        <v>299</v>
      </c>
      <c r="G85" s="15" t="s">
        <v>300</v>
      </c>
      <c r="H85" s="15">
        <v>3247</v>
      </c>
      <c r="I85" s="15">
        <f t="shared" si="5"/>
        <v>6563</v>
      </c>
      <c r="J85" s="15">
        <v>6563</v>
      </c>
      <c r="K85" s="15">
        <v>0</v>
      </c>
      <c r="L85" s="15" t="s">
        <v>86</v>
      </c>
      <c r="M85" s="15" t="s">
        <v>379</v>
      </c>
    </row>
    <row r="86" spans="1:13" ht="409.6" thickBot="1" x14ac:dyDescent="0.35">
      <c r="A86" s="64" t="s">
        <v>133</v>
      </c>
      <c r="B86" s="64">
        <v>102004</v>
      </c>
      <c r="C86" s="35">
        <f t="shared" si="3"/>
        <v>4085.6933333333332</v>
      </c>
      <c r="D86" s="35">
        <f t="shared" si="4"/>
        <v>5799.0933333333332</v>
      </c>
      <c r="E86" s="15">
        <v>75</v>
      </c>
      <c r="F86" s="65">
        <v>6</v>
      </c>
      <c r="G86" s="15" t="s">
        <v>300</v>
      </c>
      <c r="H86" s="15">
        <v>306427</v>
      </c>
      <c r="I86" s="15">
        <f t="shared" si="5"/>
        <v>434932</v>
      </c>
      <c r="J86" s="15">
        <v>434932</v>
      </c>
      <c r="K86" s="15">
        <v>0</v>
      </c>
      <c r="L86" s="15" t="s">
        <v>380</v>
      </c>
      <c r="M86" s="15" t="s">
        <v>381</v>
      </c>
    </row>
    <row r="87" spans="1:13" ht="172.2" thickBot="1" x14ac:dyDescent="0.35">
      <c r="A87" s="64" t="s">
        <v>133</v>
      </c>
      <c r="B87" s="64">
        <v>102005</v>
      </c>
      <c r="C87" s="35">
        <f t="shared" si="3"/>
        <v>969.75</v>
      </c>
      <c r="D87" s="35">
        <f t="shared" si="4"/>
        <v>1494.5</v>
      </c>
      <c r="E87" s="15">
        <v>4</v>
      </c>
      <c r="F87" s="65">
        <v>1</v>
      </c>
      <c r="G87" s="15" t="s">
        <v>300</v>
      </c>
      <c r="H87" s="15">
        <v>3879</v>
      </c>
      <c r="I87" s="15">
        <f t="shared" si="5"/>
        <v>5978</v>
      </c>
      <c r="J87" s="15">
        <v>5978</v>
      </c>
      <c r="K87" s="15">
        <v>0</v>
      </c>
      <c r="L87" s="15" t="s">
        <v>86</v>
      </c>
      <c r="M87" s="15" t="s">
        <v>382</v>
      </c>
    </row>
    <row r="88" spans="1:13" ht="409.6" thickBot="1" x14ac:dyDescent="0.35">
      <c r="A88" s="64" t="s">
        <v>133</v>
      </c>
      <c r="B88" s="64">
        <v>111004</v>
      </c>
      <c r="C88" s="35">
        <f t="shared" si="3"/>
        <v>2404.5</v>
      </c>
      <c r="D88" s="35">
        <f t="shared" si="4"/>
        <v>3265.5714285714284</v>
      </c>
      <c r="E88" s="15">
        <v>14</v>
      </c>
      <c r="F88" s="65" t="s">
        <v>299</v>
      </c>
      <c r="G88" s="15" t="s">
        <v>300</v>
      </c>
      <c r="H88" s="15">
        <v>33663</v>
      </c>
      <c r="I88" s="15">
        <f t="shared" si="5"/>
        <v>45718</v>
      </c>
      <c r="J88" s="15">
        <v>45718</v>
      </c>
      <c r="K88" s="15">
        <v>0</v>
      </c>
      <c r="L88" s="15" t="s">
        <v>383</v>
      </c>
      <c r="M88" s="15" t="s">
        <v>384</v>
      </c>
    </row>
    <row r="89" spans="1:13" ht="409.6" thickBot="1" x14ac:dyDescent="0.35">
      <c r="A89" s="64" t="s">
        <v>133</v>
      </c>
      <c r="B89" s="64">
        <v>103004</v>
      </c>
      <c r="C89" s="35">
        <f t="shared" si="3"/>
        <v>3571.5714285714284</v>
      </c>
      <c r="D89" s="35">
        <f t="shared" si="4"/>
        <v>4454.2857142857147</v>
      </c>
      <c r="E89" s="15">
        <v>14</v>
      </c>
      <c r="F89" s="65" t="s">
        <v>299</v>
      </c>
      <c r="G89" s="15" t="s">
        <v>300</v>
      </c>
      <c r="H89" s="15">
        <v>50002</v>
      </c>
      <c r="I89" s="15">
        <f t="shared" si="5"/>
        <v>62360</v>
      </c>
      <c r="J89" s="15">
        <v>62360</v>
      </c>
      <c r="K89" s="15">
        <v>0</v>
      </c>
      <c r="L89" s="15" t="s">
        <v>385</v>
      </c>
      <c r="M89" s="15" t="s">
        <v>386</v>
      </c>
    </row>
    <row r="90" spans="1:13" ht="297" thickBot="1" x14ac:dyDescent="0.35">
      <c r="A90" s="64" t="s">
        <v>133</v>
      </c>
      <c r="B90" s="64">
        <v>112005</v>
      </c>
      <c r="C90" s="35">
        <f t="shared" si="3"/>
        <v>3159.5</v>
      </c>
      <c r="D90" s="35">
        <f t="shared" si="4"/>
        <v>5144.75</v>
      </c>
      <c r="E90" s="15">
        <v>4</v>
      </c>
      <c r="F90" s="65" t="s">
        <v>299</v>
      </c>
      <c r="G90" s="15" t="s">
        <v>300</v>
      </c>
      <c r="H90" s="15">
        <v>12638</v>
      </c>
      <c r="I90" s="15">
        <f t="shared" si="5"/>
        <v>20579</v>
      </c>
      <c r="J90" s="15">
        <v>20579</v>
      </c>
      <c r="K90" s="15">
        <v>0</v>
      </c>
      <c r="L90" s="15" t="s">
        <v>95</v>
      </c>
      <c r="M90" s="15" t="s">
        <v>387</v>
      </c>
    </row>
    <row r="91" spans="1:13" ht="109.8" thickBot="1" x14ac:dyDescent="0.35">
      <c r="A91" s="64" t="s">
        <v>133</v>
      </c>
      <c r="B91" s="64">
        <v>112006</v>
      </c>
      <c r="C91" s="35">
        <f t="shared" si="3"/>
        <v>1683.3333333333333</v>
      </c>
      <c r="D91" s="35">
        <f t="shared" si="4"/>
        <v>2559.6666666666665</v>
      </c>
      <c r="E91" s="15">
        <v>3</v>
      </c>
      <c r="F91" s="65" t="s">
        <v>299</v>
      </c>
      <c r="G91" s="15" t="s">
        <v>300</v>
      </c>
      <c r="H91" s="15">
        <v>5050</v>
      </c>
      <c r="I91" s="15">
        <f t="shared" si="5"/>
        <v>7679</v>
      </c>
      <c r="J91" s="15">
        <v>7679</v>
      </c>
      <c r="K91" s="15">
        <v>0</v>
      </c>
      <c r="L91" s="15" t="s">
        <v>388</v>
      </c>
      <c r="M91" s="15" t="s">
        <v>389</v>
      </c>
    </row>
    <row r="92" spans="1:13" ht="63" thickBot="1" x14ac:dyDescent="0.35">
      <c r="A92" s="64" t="s">
        <v>133</v>
      </c>
      <c r="B92" s="64">
        <v>117004</v>
      </c>
      <c r="C92" s="35">
        <f t="shared" si="3"/>
        <v>2570</v>
      </c>
      <c r="D92" s="35">
        <f t="shared" si="4"/>
        <v>2802</v>
      </c>
      <c r="E92" s="15">
        <v>1</v>
      </c>
      <c r="F92" s="65" t="s">
        <v>299</v>
      </c>
      <c r="G92" s="15" t="s">
        <v>300</v>
      </c>
      <c r="H92" s="15">
        <v>2570</v>
      </c>
      <c r="I92" s="15">
        <f t="shared" si="5"/>
        <v>2802</v>
      </c>
      <c r="J92" s="15">
        <v>2802</v>
      </c>
      <c r="K92" s="15">
        <v>0</v>
      </c>
      <c r="L92" s="15" t="s">
        <v>99</v>
      </c>
      <c r="M92" s="15" t="s">
        <v>390</v>
      </c>
    </row>
    <row r="93" spans="1:13" ht="31.8" thickBot="1" x14ac:dyDescent="0.35">
      <c r="A93" s="64" t="s">
        <v>133</v>
      </c>
      <c r="B93" s="64">
        <v>106013</v>
      </c>
      <c r="C93" s="35">
        <f t="shared" si="3"/>
        <v>243</v>
      </c>
      <c r="D93" s="35">
        <f t="shared" si="4"/>
        <v>243</v>
      </c>
      <c r="E93" s="15">
        <v>1</v>
      </c>
      <c r="F93" s="65" t="s">
        <v>299</v>
      </c>
      <c r="G93" s="15" t="s">
        <v>300</v>
      </c>
      <c r="H93" s="15">
        <v>243</v>
      </c>
      <c r="I93" s="15">
        <f t="shared" si="5"/>
        <v>243</v>
      </c>
      <c r="J93" s="15">
        <v>243</v>
      </c>
      <c r="K93" s="15">
        <v>0</v>
      </c>
      <c r="L93" s="15" t="s">
        <v>90</v>
      </c>
      <c r="M93" s="15" t="s">
        <v>391</v>
      </c>
    </row>
    <row r="94" spans="1:13" ht="281.39999999999998" thickBot="1" x14ac:dyDescent="0.35">
      <c r="A94" s="64" t="s">
        <v>133</v>
      </c>
      <c r="B94" s="64">
        <v>103012</v>
      </c>
      <c r="C94" s="35">
        <f t="shared" si="3"/>
        <v>8212</v>
      </c>
      <c r="D94" s="35">
        <f t="shared" si="4"/>
        <v>10249.5</v>
      </c>
      <c r="E94" s="15">
        <v>2</v>
      </c>
      <c r="F94" s="65" t="s">
        <v>299</v>
      </c>
      <c r="G94" s="15" t="s">
        <v>300</v>
      </c>
      <c r="H94" s="15">
        <v>16424</v>
      </c>
      <c r="I94" s="15">
        <f t="shared" si="5"/>
        <v>20499</v>
      </c>
      <c r="J94" s="15">
        <v>20499</v>
      </c>
      <c r="K94" s="15">
        <v>0</v>
      </c>
      <c r="L94" s="15" t="s">
        <v>87</v>
      </c>
      <c r="M94" s="15" t="s">
        <v>392</v>
      </c>
    </row>
    <row r="95" spans="1:13" ht="141" thickBot="1" x14ac:dyDescent="0.35">
      <c r="A95" s="64" t="s">
        <v>133</v>
      </c>
      <c r="B95" s="64">
        <v>103013</v>
      </c>
      <c r="C95" s="35">
        <f t="shared" si="3"/>
        <v>9970</v>
      </c>
      <c r="D95" s="35">
        <f t="shared" si="4"/>
        <v>10362</v>
      </c>
      <c r="E95" s="15">
        <v>1</v>
      </c>
      <c r="F95" s="65" t="s">
        <v>299</v>
      </c>
      <c r="G95" s="15" t="s">
        <v>300</v>
      </c>
      <c r="H95" s="15">
        <v>9970</v>
      </c>
      <c r="I95" s="15">
        <f t="shared" si="5"/>
        <v>10362</v>
      </c>
      <c r="J95" s="15">
        <v>10362</v>
      </c>
      <c r="K95" s="15">
        <v>0</v>
      </c>
      <c r="L95" s="15" t="s">
        <v>87</v>
      </c>
      <c r="M95" s="15" t="s">
        <v>393</v>
      </c>
    </row>
    <row r="96" spans="1:13" ht="125.4" thickBot="1" x14ac:dyDescent="0.35">
      <c r="A96" s="64" t="s">
        <v>133</v>
      </c>
      <c r="B96" s="64">
        <v>103014</v>
      </c>
      <c r="C96" s="35">
        <f t="shared" si="3"/>
        <v>3516</v>
      </c>
      <c r="D96" s="35">
        <f t="shared" si="4"/>
        <v>4123</v>
      </c>
      <c r="E96" s="15">
        <v>2</v>
      </c>
      <c r="F96" s="65" t="s">
        <v>299</v>
      </c>
      <c r="G96" s="15" t="s">
        <v>300</v>
      </c>
      <c r="H96" s="15">
        <v>7032</v>
      </c>
      <c r="I96" s="15">
        <f t="shared" si="5"/>
        <v>8246</v>
      </c>
      <c r="J96" s="15">
        <v>8246</v>
      </c>
      <c r="K96" s="15">
        <v>0</v>
      </c>
      <c r="L96" s="15" t="s">
        <v>87</v>
      </c>
      <c r="M96" s="15" t="s">
        <v>394</v>
      </c>
    </row>
    <row r="97" spans="1:13" ht="47.4" thickBot="1" x14ac:dyDescent="0.35">
      <c r="A97" s="64" t="s">
        <v>133</v>
      </c>
      <c r="B97" s="64">
        <v>103017</v>
      </c>
      <c r="C97" s="35">
        <f t="shared" si="3"/>
        <v>2417</v>
      </c>
      <c r="D97" s="35">
        <f t="shared" si="4"/>
        <v>2529</v>
      </c>
      <c r="E97" s="15">
        <v>1</v>
      </c>
      <c r="F97" s="65" t="s">
        <v>299</v>
      </c>
      <c r="G97" s="15" t="s">
        <v>300</v>
      </c>
      <c r="H97" s="15">
        <v>2417</v>
      </c>
      <c r="I97" s="15">
        <f t="shared" si="5"/>
        <v>2529</v>
      </c>
      <c r="J97" s="15">
        <v>2529</v>
      </c>
      <c r="K97" s="15">
        <v>0</v>
      </c>
      <c r="L97" s="15" t="s">
        <v>87</v>
      </c>
      <c r="M97" s="15" t="s">
        <v>395</v>
      </c>
    </row>
    <row r="98" spans="1:13" ht="94.2" thickBot="1" x14ac:dyDescent="0.35">
      <c r="A98" s="64" t="s">
        <v>133</v>
      </c>
      <c r="B98" s="64">
        <v>103005</v>
      </c>
      <c r="C98" s="35">
        <f t="shared" si="3"/>
        <v>3293.5</v>
      </c>
      <c r="D98" s="35">
        <f t="shared" si="4"/>
        <v>3351.5</v>
      </c>
      <c r="E98" s="15">
        <v>2</v>
      </c>
      <c r="F98" s="65" t="s">
        <v>299</v>
      </c>
      <c r="G98" s="15" t="s">
        <v>300</v>
      </c>
      <c r="H98" s="15">
        <v>6587</v>
      </c>
      <c r="I98" s="15">
        <f t="shared" si="5"/>
        <v>6703</v>
      </c>
      <c r="J98" s="15">
        <v>6703</v>
      </c>
      <c r="K98" s="15">
        <v>0</v>
      </c>
      <c r="L98" s="15" t="s">
        <v>87</v>
      </c>
      <c r="M98" s="15" t="s">
        <v>396</v>
      </c>
    </row>
    <row r="99" spans="1:13" ht="63" thickBot="1" x14ac:dyDescent="0.35">
      <c r="A99" s="64" t="s">
        <v>133</v>
      </c>
      <c r="B99" s="64">
        <v>103010</v>
      </c>
      <c r="C99" s="35">
        <f t="shared" si="3"/>
        <v>1439.3333333333333</v>
      </c>
      <c r="D99" s="35">
        <f t="shared" si="4"/>
        <v>1802</v>
      </c>
      <c r="E99" s="15">
        <v>3</v>
      </c>
      <c r="F99" s="65" t="s">
        <v>299</v>
      </c>
      <c r="G99" s="15" t="s">
        <v>300</v>
      </c>
      <c r="H99" s="15">
        <v>4318</v>
      </c>
      <c r="I99" s="15">
        <f t="shared" si="5"/>
        <v>5406</v>
      </c>
      <c r="J99" s="15">
        <v>5406</v>
      </c>
      <c r="K99" s="15">
        <v>0</v>
      </c>
      <c r="L99" s="15" t="s">
        <v>87</v>
      </c>
      <c r="M99" s="15" t="s">
        <v>397</v>
      </c>
    </row>
    <row r="100" spans="1:13" ht="141" thickBot="1" x14ac:dyDescent="0.35">
      <c r="A100" s="64" t="s">
        <v>133</v>
      </c>
      <c r="B100" s="64">
        <v>103011</v>
      </c>
      <c r="C100" s="35">
        <f t="shared" si="3"/>
        <v>2619.6666666666665</v>
      </c>
      <c r="D100" s="35">
        <f t="shared" si="4"/>
        <v>3724</v>
      </c>
      <c r="E100" s="15">
        <v>3</v>
      </c>
      <c r="F100" s="65" t="s">
        <v>299</v>
      </c>
      <c r="G100" s="15" t="s">
        <v>300</v>
      </c>
      <c r="H100" s="15">
        <v>7859</v>
      </c>
      <c r="I100" s="15">
        <f t="shared" si="5"/>
        <v>11172</v>
      </c>
      <c r="J100" s="15">
        <v>11172</v>
      </c>
      <c r="K100" s="15">
        <v>0</v>
      </c>
      <c r="L100" s="15" t="s">
        <v>87</v>
      </c>
      <c r="M100" s="15" t="s">
        <v>398</v>
      </c>
    </row>
    <row r="101" spans="1:13" ht="63" thickBot="1" x14ac:dyDescent="0.35">
      <c r="A101" s="64" t="s">
        <v>133</v>
      </c>
      <c r="B101" s="64">
        <v>112007</v>
      </c>
      <c r="C101" s="35">
        <f t="shared" si="3"/>
        <v>1763.75</v>
      </c>
      <c r="D101" s="35">
        <f t="shared" si="4"/>
        <v>1953.75</v>
      </c>
      <c r="E101" s="15">
        <v>4</v>
      </c>
      <c r="F101" s="65" t="s">
        <v>299</v>
      </c>
      <c r="G101" s="15" t="s">
        <v>300</v>
      </c>
      <c r="H101" s="15">
        <v>7055</v>
      </c>
      <c r="I101" s="15">
        <f t="shared" si="5"/>
        <v>7815</v>
      </c>
      <c r="J101" s="15">
        <v>7815</v>
      </c>
      <c r="K101" s="15">
        <v>0</v>
      </c>
      <c r="L101" s="15" t="s">
        <v>92</v>
      </c>
      <c r="M101" s="15" t="s">
        <v>399</v>
      </c>
    </row>
    <row r="102" spans="1:13" ht="47.4" thickBot="1" x14ac:dyDescent="0.35">
      <c r="A102" s="64" t="s">
        <v>133</v>
      </c>
      <c r="B102" s="64">
        <v>117005</v>
      </c>
      <c r="C102" s="35">
        <f t="shared" si="3"/>
        <v>2415</v>
      </c>
      <c r="D102" s="35">
        <f t="shared" si="4"/>
        <v>2702</v>
      </c>
      <c r="E102" s="15">
        <v>1</v>
      </c>
      <c r="F102" s="65" t="s">
        <v>299</v>
      </c>
      <c r="G102" s="15" t="s">
        <v>300</v>
      </c>
      <c r="H102" s="15">
        <v>2415</v>
      </c>
      <c r="I102" s="15">
        <f t="shared" si="5"/>
        <v>2702</v>
      </c>
      <c r="J102" s="15">
        <v>2702</v>
      </c>
      <c r="K102" s="15">
        <v>0</v>
      </c>
      <c r="L102" s="15" t="s">
        <v>99</v>
      </c>
      <c r="M102" s="15" t="s">
        <v>400</v>
      </c>
    </row>
    <row r="103" spans="1:13" ht="31.8" thickBot="1" x14ac:dyDescent="0.35">
      <c r="A103" s="64" t="s">
        <v>133</v>
      </c>
      <c r="B103" s="64">
        <v>110040</v>
      </c>
      <c r="C103" s="35">
        <f t="shared" si="3"/>
        <v>42</v>
      </c>
      <c r="D103" s="35">
        <f t="shared" si="4"/>
        <v>45</v>
      </c>
      <c r="E103" s="15">
        <v>1</v>
      </c>
      <c r="F103" s="65" t="s">
        <v>299</v>
      </c>
      <c r="G103" s="15" t="s">
        <v>300</v>
      </c>
      <c r="H103" s="15">
        <v>42</v>
      </c>
      <c r="I103" s="15">
        <f t="shared" si="5"/>
        <v>45</v>
      </c>
      <c r="J103" s="15">
        <v>45</v>
      </c>
      <c r="K103" s="15">
        <v>0</v>
      </c>
      <c r="L103" s="15" t="s">
        <v>93</v>
      </c>
      <c r="M103" s="15" t="s">
        <v>401</v>
      </c>
    </row>
    <row r="104" spans="1:13" ht="16.2" thickBot="1" x14ac:dyDescent="0.35">
      <c r="A104" s="64" t="s">
        <v>133</v>
      </c>
      <c r="B104" s="64">
        <v>114119</v>
      </c>
      <c r="C104" s="35">
        <f t="shared" si="3"/>
        <v>5</v>
      </c>
      <c r="D104" s="35">
        <f t="shared" si="4"/>
        <v>3</v>
      </c>
      <c r="E104" s="15">
        <v>1</v>
      </c>
      <c r="F104" s="65" t="s">
        <v>299</v>
      </c>
      <c r="G104" s="15" t="s">
        <v>300</v>
      </c>
      <c r="H104" s="15">
        <v>5</v>
      </c>
      <c r="I104" s="15">
        <f t="shared" si="5"/>
        <v>3</v>
      </c>
      <c r="J104" s="15">
        <v>3</v>
      </c>
      <c r="K104" s="15">
        <v>0</v>
      </c>
      <c r="L104" s="15" t="s">
        <v>95</v>
      </c>
      <c r="M104" s="15" t="s">
        <v>319</v>
      </c>
    </row>
    <row r="105" spans="1:13" ht="31.8" thickBot="1" x14ac:dyDescent="0.35">
      <c r="A105" s="64" t="s">
        <v>133</v>
      </c>
      <c r="B105" s="64">
        <v>103031</v>
      </c>
      <c r="C105" s="35">
        <f t="shared" si="3"/>
        <v>2</v>
      </c>
      <c r="D105" s="35">
        <f t="shared" si="4"/>
        <v>2</v>
      </c>
      <c r="E105" s="15">
        <v>1</v>
      </c>
      <c r="F105" s="65" t="s">
        <v>299</v>
      </c>
      <c r="G105" s="15" t="s">
        <v>300</v>
      </c>
      <c r="H105" s="15">
        <v>2</v>
      </c>
      <c r="I105" s="15">
        <f t="shared" si="5"/>
        <v>2</v>
      </c>
      <c r="J105" s="15">
        <v>2</v>
      </c>
      <c r="K105" s="15">
        <v>0</v>
      </c>
      <c r="L105" s="15" t="s">
        <v>87</v>
      </c>
      <c r="M105" s="15" t="s">
        <v>402</v>
      </c>
    </row>
    <row r="106" spans="1:13" ht="16.2" thickBot="1" x14ac:dyDescent="0.35">
      <c r="A106" s="64" t="s">
        <v>133</v>
      </c>
      <c r="B106" s="64">
        <v>117139</v>
      </c>
      <c r="C106" s="35">
        <f t="shared" si="3"/>
        <v>4</v>
      </c>
      <c r="D106" s="35">
        <f t="shared" si="4"/>
        <v>4</v>
      </c>
      <c r="E106" s="15">
        <v>1</v>
      </c>
      <c r="F106" s="65" t="s">
        <v>299</v>
      </c>
      <c r="G106" s="15" t="s">
        <v>300</v>
      </c>
      <c r="H106" s="15">
        <v>4</v>
      </c>
      <c r="I106" s="15">
        <f t="shared" si="5"/>
        <v>4</v>
      </c>
      <c r="J106" s="15">
        <v>4</v>
      </c>
      <c r="K106" s="15">
        <v>0</v>
      </c>
      <c r="L106" s="15" t="s">
        <v>99</v>
      </c>
      <c r="M106" s="15" t="s">
        <v>403</v>
      </c>
    </row>
    <row r="107" spans="1:13" ht="31.8" thickBot="1" x14ac:dyDescent="0.35">
      <c r="A107" s="64" t="s">
        <v>133</v>
      </c>
      <c r="B107" s="64">
        <v>117140</v>
      </c>
      <c r="C107" s="35">
        <f t="shared" si="3"/>
        <v>5</v>
      </c>
      <c r="D107" s="35">
        <f t="shared" si="4"/>
        <v>4</v>
      </c>
      <c r="E107" s="15">
        <v>1</v>
      </c>
      <c r="F107" s="65" t="s">
        <v>299</v>
      </c>
      <c r="G107" s="15" t="s">
        <v>300</v>
      </c>
      <c r="H107" s="15">
        <v>5</v>
      </c>
      <c r="I107" s="15">
        <f t="shared" si="5"/>
        <v>4</v>
      </c>
      <c r="J107" s="15">
        <v>4</v>
      </c>
      <c r="K107" s="15">
        <v>0</v>
      </c>
      <c r="L107" s="15" t="s">
        <v>99</v>
      </c>
      <c r="M107" s="15" t="s">
        <v>404</v>
      </c>
    </row>
    <row r="108" spans="1:13" ht="16.2" thickBot="1" x14ac:dyDescent="0.35">
      <c r="A108" s="64" t="s">
        <v>133</v>
      </c>
      <c r="B108" s="64">
        <v>117124</v>
      </c>
      <c r="C108" s="35">
        <f t="shared" si="3"/>
        <v>18</v>
      </c>
      <c r="D108" s="35">
        <f t="shared" si="4"/>
        <v>20</v>
      </c>
      <c r="E108" s="15">
        <v>1</v>
      </c>
      <c r="F108" s="65" t="s">
        <v>299</v>
      </c>
      <c r="G108" s="15" t="s">
        <v>300</v>
      </c>
      <c r="H108" s="15">
        <v>18</v>
      </c>
      <c r="I108" s="15">
        <f t="shared" si="5"/>
        <v>20</v>
      </c>
      <c r="J108" s="15">
        <v>20</v>
      </c>
      <c r="K108" s="15">
        <v>0</v>
      </c>
      <c r="L108" s="15" t="s">
        <v>99</v>
      </c>
      <c r="M108" s="15" t="s">
        <v>405</v>
      </c>
    </row>
    <row r="109" spans="1:13" ht="16.2" thickBot="1" x14ac:dyDescent="0.35">
      <c r="A109" s="64" t="s">
        <v>133</v>
      </c>
      <c r="B109" s="64">
        <v>105038</v>
      </c>
      <c r="C109" s="35">
        <f t="shared" si="3"/>
        <v>18</v>
      </c>
      <c r="D109" s="35">
        <f t="shared" si="4"/>
        <v>20</v>
      </c>
      <c r="E109" s="15">
        <v>1</v>
      </c>
      <c r="F109" s="65" t="s">
        <v>299</v>
      </c>
      <c r="G109" s="15" t="s">
        <v>300</v>
      </c>
      <c r="H109" s="15">
        <v>18</v>
      </c>
      <c r="I109" s="15">
        <f t="shared" si="5"/>
        <v>20</v>
      </c>
      <c r="J109" s="15">
        <v>20</v>
      </c>
      <c r="K109" s="15">
        <v>0</v>
      </c>
      <c r="L109" s="15" t="s">
        <v>88</v>
      </c>
      <c r="M109" s="15" t="s">
        <v>406</v>
      </c>
    </row>
    <row r="110" spans="1:13" ht="16.2" thickBot="1" x14ac:dyDescent="0.35">
      <c r="A110" s="64" t="s">
        <v>133</v>
      </c>
      <c r="B110" s="64">
        <v>117163</v>
      </c>
      <c r="C110" s="35">
        <f t="shared" si="3"/>
        <v>129</v>
      </c>
      <c r="D110" s="35">
        <f t="shared" si="4"/>
        <v>121</v>
      </c>
      <c r="E110" s="15">
        <v>1</v>
      </c>
      <c r="F110" s="65">
        <v>1</v>
      </c>
      <c r="G110" s="15" t="s">
        <v>300</v>
      </c>
      <c r="H110" s="15">
        <v>129</v>
      </c>
      <c r="I110" s="15">
        <f t="shared" si="5"/>
        <v>121</v>
      </c>
      <c r="J110" s="15">
        <v>121</v>
      </c>
      <c r="K110" s="15">
        <v>0</v>
      </c>
      <c r="L110" s="15" t="s">
        <v>99</v>
      </c>
      <c r="M110" s="15" t="s">
        <v>407</v>
      </c>
    </row>
    <row r="111" spans="1:13" ht="16.2" thickBot="1" x14ac:dyDescent="0.35">
      <c r="A111" s="64" t="s">
        <v>133</v>
      </c>
      <c r="B111" s="64">
        <v>117133</v>
      </c>
      <c r="C111" s="35">
        <f t="shared" si="3"/>
        <v>4</v>
      </c>
      <c r="D111" s="35">
        <f t="shared" si="4"/>
        <v>3</v>
      </c>
      <c r="E111" s="15">
        <v>1</v>
      </c>
      <c r="F111" s="65" t="s">
        <v>299</v>
      </c>
      <c r="G111" s="15" t="s">
        <v>300</v>
      </c>
      <c r="H111" s="15">
        <v>4</v>
      </c>
      <c r="I111" s="15">
        <f t="shared" si="5"/>
        <v>3</v>
      </c>
      <c r="J111" s="15">
        <v>3</v>
      </c>
      <c r="K111" s="15">
        <v>0</v>
      </c>
      <c r="L111" s="15" t="s">
        <v>99</v>
      </c>
      <c r="M111" s="15" t="s">
        <v>407</v>
      </c>
    </row>
    <row r="112" spans="1:13" ht="16.2" thickBot="1" x14ac:dyDescent="0.35">
      <c r="A112" s="64" t="s">
        <v>133</v>
      </c>
      <c r="B112" s="64">
        <v>117143</v>
      </c>
      <c r="C112" s="35">
        <f t="shared" si="3"/>
        <v>105</v>
      </c>
      <c r="D112" s="35">
        <f t="shared" si="4"/>
        <v>118</v>
      </c>
      <c r="E112" s="15">
        <v>1</v>
      </c>
      <c r="F112" s="65" t="s">
        <v>299</v>
      </c>
      <c r="G112" s="15" t="s">
        <v>300</v>
      </c>
      <c r="H112" s="15">
        <v>105</v>
      </c>
      <c r="I112" s="15">
        <f t="shared" si="5"/>
        <v>118</v>
      </c>
      <c r="J112" s="15">
        <v>118</v>
      </c>
      <c r="K112" s="15">
        <v>0</v>
      </c>
      <c r="L112" s="15" t="s">
        <v>99</v>
      </c>
      <c r="M112" s="15" t="s">
        <v>408</v>
      </c>
    </row>
    <row r="113" spans="1:13" ht="16.2" thickBot="1" x14ac:dyDescent="0.35">
      <c r="A113" s="64" t="s">
        <v>133</v>
      </c>
      <c r="B113" s="64">
        <v>109214</v>
      </c>
      <c r="C113" s="35">
        <f t="shared" si="3"/>
        <v>18</v>
      </c>
      <c r="D113" s="35">
        <f t="shared" si="4"/>
        <v>19</v>
      </c>
      <c r="E113" s="15">
        <v>1</v>
      </c>
      <c r="F113" s="65" t="s">
        <v>299</v>
      </c>
      <c r="G113" s="15" t="s">
        <v>300</v>
      </c>
      <c r="H113" s="15">
        <v>18</v>
      </c>
      <c r="I113" s="15">
        <f t="shared" si="5"/>
        <v>19</v>
      </c>
      <c r="J113" s="15">
        <v>19</v>
      </c>
      <c r="K113" s="15">
        <v>0</v>
      </c>
      <c r="L113" s="15" t="s">
        <v>89</v>
      </c>
      <c r="M113" s="15" t="s">
        <v>409</v>
      </c>
    </row>
    <row r="114" spans="1:13" ht="16.2" thickBot="1" x14ac:dyDescent="0.35">
      <c r="A114" s="64" t="s">
        <v>133</v>
      </c>
      <c r="B114" s="64">
        <v>106041</v>
      </c>
      <c r="C114" s="35">
        <f t="shared" si="3"/>
        <v>4</v>
      </c>
      <c r="D114" s="35">
        <f t="shared" si="4"/>
        <v>4</v>
      </c>
      <c r="E114" s="15">
        <v>1</v>
      </c>
      <c r="F114" s="65" t="s">
        <v>299</v>
      </c>
      <c r="G114" s="15" t="s">
        <v>300</v>
      </c>
      <c r="H114" s="15">
        <v>4</v>
      </c>
      <c r="I114" s="15">
        <f t="shared" si="5"/>
        <v>4</v>
      </c>
      <c r="J114" s="15">
        <v>4</v>
      </c>
      <c r="K114" s="15">
        <v>0</v>
      </c>
      <c r="L114" s="15" t="s">
        <v>90</v>
      </c>
      <c r="M114" s="15" t="s">
        <v>410</v>
      </c>
    </row>
    <row r="115" spans="1:13" ht="16.2" thickBot="1" x14ac:dyDescent="0.35">
      <c r="A115" s="64" t="s">
        <v>133</v>
      </c>
      <c r="B115" s="64">
        <v>117148</v>
      </c>
      <c r="C115" s="35">
        <f t="shared" si="3"/>
        <v>16</v>
      </c>
      <c r="D115" s="35">
        <f t="shared" si="4"/>
        <v>16</v>
      </c>
      <c r="E115" s="15">
        <v>1</v>
      </c>
      <c r="F115" s="65" t="s">
        <v>299</v>
      </c>
      <c r="G115" s="15" t="s">
        <v>300</v>
      </c>
      <c r="H115" s="15">
        <v>16</v>
      </c>
      <c r="I115" s="15">
        <f t="shared" si="5"/>
        <v>16</v>
      </c>
      <c r="J115" s="15">
        <v>16</v>
      </c>
      <c r="K115" s="15">
        <v>0</v>
      </c>
      <c r="L115" s="15" t="s">
        <v>99</v>
      </c>
      <c r="M115" s="15" t="s">
        <v>411</v>
      </c>
    </row>
    <row r="116" spans="1:13" ht="16.2" thickBot="1" x14ac:dyDescent="0.35">
      <c r="A116" s="64" t="s">
        <v>133</v>
      </c>
      <c r="B116" s="64">
        <v>117152</v>
      </c>
      <c r="C116" s="35">
        <f t="shared" si="3"/>
        <v>1</v>
      </c>
      <c r="D116" s="35">
        <f t="shared" si="4"/>
        <v>1</v>
      </c>
      <c r="E116" s="15">
        <v>1</v>
      </c>
      <c r="F116" s="65" t="s">
        <v>299</v>
      </c>
      <c r="G116" s="15" t="s">
        <v>300</v>
      </c>
      <c r="H116" s="15">
        <v>1</v>
      </c>
      <c r="I116" s="15">
        <f t="shared" si="5"/>
        <v>1</v>
      </c>
      <c r="J116" s="15">
        <v>1</v>
      </c>
      <c r="K116" s="15">
        <v>0</v>
      </c>
      <c r="L116" s="15" t="s">
        <v>99</v>
      </c>
      <c r="M116" s="15" t="s">
        <v>412</v>
      </c>
    </row>
    <row r="117" spans="1:13" ht="16.2" thickBot="1" x14ac:dyDescent="0.35">
      <c r="A117" s="64" t="s">
        <v>133</v>
      </c>
      <c r="B117" s="64">
        <v>118155</v>
      </c>
      <c r="C117" s="35">
        <f t="shared" si="3"/>
        <v>3</v>
      </c>
      <c r="D117" s="35">
        <f t="shared" si="4"/>
        <v>2</v>
      </c>
      <c r="E117" s="15">
        <v>1</v>
      </c>
      <c r="F117" s="65" t="s">
        <v>299</v>
      </c>
      <c r="G117" s="15" t="s">
        <v>300</v>
      </c>
      <c r="H117" s="15">
        <v>3</v>
      </c>
      <c r="I117" s="15">
        <f t="shared" si="5"/>
        <v>2</v>
      </c>
      <c r="J117" s="15">
        <v>2</v>
      </c>
      <c r="K117" s="15">
        <v>0</v>
      </c>
      <c r="L117" s="15" t="s">
        <v>85</v>
      </c>
      <c r="M117" s="15" t="s">
        <v>307</v>
      </c>
    </row>
    <row r="118" spans="1:13" ht="16.2" thickBot="1" x14ac:dyDescent="0.35">
      <c r="A118" s="64" t="s">
        <v>133</v>
      </c>
      <c r="B118" s="64">
        <v>117145</v>
      </c>
      <c r="C118" s="35">
        <f t="shared" si="3"/>
        <v>15</v>
      </c>
      <c r="D118" s="35">
        <f t="shared" si="4"/>
        <v>15</v>
      </c>
      <c r="E118" s="15">
        <v>1</v>
      </c>
      <c r="F118" s="65" t="s">
        <v>299</v>
      </c>
      <c r="G118" s="15" t="s">
        <v>300</v>
      </c>
      <c r="H118" s="15">
        <v>15</v>
      </c>
      <c r="I118" s="15">
        <f t="shared" si="5"/>
        <v>15</v>
      </c>
      <c r="J118" s="15">
        <v>15</v>
      </c>
      <c r="K118" s="15">
        <v>0</v>
      </c>
      <c r="L118" s="15" t="s">
        <v>99</v>
      </c>
      <c r="M118" s="15" t="s">
        <v>413</v>
      </c>
    </row>
    <row r="119" spans="1:13" ht="16.2" thickBot="1" x14ac:dyDescent="0.35">
      <c r="A119" s="64" t="s">
        <v>133</v>
      </c>
      <c r="B119" s="64">
        <v>117144</v>
      </c>
      <c r="C119" s="35">
        <f t="shared" si="3"/>
        <v>18</v>
      </c>
      <c r="D119" s="35">
        <f t="shared" si="4"/>
        <v>19</v>
      </c>
      <c r="E119" s="15">
        <v>1</v>
      </c>
      <c r="F119" s="65" t="s">
        <v>299</v>
      </c>
      <c r="G119" s="15" t="s">
        <v>300</v>
      </c>
      <c r="H119" s="15">
        <v>18</v>
      </c>
      <c r="I119" s="15">
        <f t="shared" si="5"/>
        <v>19</v>
      </c>
      <c r="J119" s="15">
        <v>19</v>
      </c>
      <c r="K119" s="15">
        <v>0</v>
      </c>
      <c r="L119" s="15" t="s">
        <v>99</v>
      </c>
      <c r="M119" s="15" t="s">
        <v>413</v>
      </c>
    </row>
    <row r="120" spans="1:13" ht="16.2" thickBot="1" x14ac:dyDescent="0.35">
      <c r="A120" s="64" t="s">
        <v>133</v>
      </c>
      <c r="B120" s="64">
        <v>112076</v>
      </c>
      <c r="C120" s="35">
        <f t="shared" si="3"/>
        <v>3</v>
      </c>
      <c r="D120" s="35">
        <f t="shared" si="4"/>
        <v>3</v>
      </c>
      <c r="E120" s="15">
        <v>1</v>
      </c>
      <c r="F120" s="65" t="s">
        <v>299</v>
      </c>
      <c r="G120" s="15" t="s">
        <v>300</v>
      </c>
      <c r="H120" s="15">
        <v>3</v>
      </c>
      <c r="I120" s="15">
        <f t="shared" si="5"/>
        <v>3</v>
      </c>
      <c r="J120" s="15">
        <v>3</v>
      </c>
      <c r="K120" s="15">
        <v>0</v>
      </c>
      <c r="L120" s="15" t="s">
        <v>95</v>
      </c>
      <c r="M120" s="15" t="s">
        <v>414</v>
      </c>
    </row>
    <row r="121" spans="1:13" ht="31.8" thickBot="1" x14ac:dyDescent="0.35">
      <c r="A121" s="64" t="s">
        <v>133</v>
      </c>
      <c r="B121" s="64">
        <v>118008</v>
      </c>
      <c r="C121" s="35">
        <f t="shared" si="3"/>
        <v>197</v>
      </c>
      <c r="D121" s="35">
        <f t="shared" si="4"/>
        <v>206</v>
      </c>
      <c r="E121" s="15">
        <v>1</v>
      </c>
      <c r="F121" s="65" t="s">
        <v>299</v>
      </c>
      <c r="G121" s="15" t="s">
        <v>300</v>
      </c>
      <c r="H121" s="15">
        <v>197</v>
      </c>
      <c r="I121" s="15">
        <f t="shared" si="5"/>
        <v>206</v>
      </c>
      <c r="J121" s="15">
        <v>206</v>
      </c>
      <c r="K121" s="15">
        <v>0</v>
      </c>
      <c r="L121" s="15" t="s">
        <v>85</v>
      </c>
      <c r="M121" s="15" t="s">
        <v>415</v>
      </c>
    </row>
    <row r="122" spans="1:13" ht="31.8" thickBot="1" x14ac:dyDescent="0.35">
      <c r="A122" s="64" t="s">
        <v>133</v>
      </c>
      <c r="B122" s="64">
        <v>110025</v>
      </c>
      <c r="C122" s="35">
        <f t="shared" si="3"/>
        <v>1237</v>
      </c>
      <c r="D122" s="35">
        <f t="shared" si="4"/>
        <v>1425</v>
      </c>
      <c r="E122" s="15">
        <v>1</v>
      </c>
      <c r="F122" s="65" t="s">
        <v>299</v>
      </c>
      <c r="G122" s="15" t="s">
        <v>300</v>
      </c>
      <c r="H122" s="15">
        <v>1237</v>
      </c>
      <c r="I122" s="15">
        <f t="shared" si="5"/>
        <v>1425</v>
      </c>
      <c r="J122" s="15">
        <v>1425</v>
      </c>
      <c r="K122" s="15">
        <v>0</v>
      </c>
      <c r="L122" s="15" t="s">
        <v>93</v>
      </c>
      <c r="M122" s="15" t="s">
        <v>416</v>
      </c>
    </row>
    <row r="123" spans="1:13" ht="31.8" thickBot="1" x14ac:dyDescent="0.35">
      <c r="A123" s="64" t="s">
        <v>133</v>
      </c>
      <c r="B123" s="64">
        <v>118072</v>
      </c>
      <c r="C123" s="35">
        <f t="shared" si="3"/>
        <v>859</v>
      </c>
      <c r="D123" s="35">
        <f t="shared" si="4"/>
        <v>955</v>
      </c>
      <c r="E123" s="15">
        <v>1</v>
      </c>
      <c r="F123" s="65" t="s">
        <v>299</v>
      </c>
      <c r="G123" s="15" t="s">
        <v>300</v>
      </c>
      <c r="H123" s="15">
        <v>859</v>
      </c>
      <c r="I123" s="15">
        <f t="shared" si="5"/>
        <v>955</v>
      </c>
      <c r="J123" s="15">
        <v>955</v>
      </c>
      <c r="K123" s="15">
        <v>0</v>
      </c>
      <c r="L123" s="15" t="s">
        <v>85</v>
      </c>
      <c r="M123" s="15" t="s">
        <v>417</v>
      </c>
    </row>
    <row r="124" spans="1:13" ht="63" thickBot="1" x14ac:dyDescent="0.35">
      <c r="A124" s="64" t="s">
        <v>133</v>
      </c>
      <c r="B124" s="64">
        <v>116020</v>
      </c>
      <c r="C124" s="35">
        <f t="shared" si="3"/>
        <v>287</v>
      </c>
      <c r="D124" s="35">
        <f t="shared" si="4"/>
        <v>315.66666666666669</v>
      </c>
      <c r="E124" s="15">
        <v>3</v>
      </c>
      <c r="F124" s="65" t="s">
        <v>299</v>
      </c>
      <c r="G124" s="15" t="s">
        <v>300</v>
      </c>
      <c r="H124" s="15">
        <v>861</v>
      </c>
      <c r="I124" s="15">
        <f t="shared" si="5"/>
        <v>947</v>
      </c>
      <c r="J124" s="15">
        <v>947</v>
      </c>
      <c r="K124" s="15">
        <v>0</v>
      </c>
      <c r="L124" s="15" t="s">
        <v>98</v>
      </c>
      <c r="M124" s="15" t="s">
        <v>418</v>
      </c>
    </row>
    <row r="125" spans="1:13" ht="172.2" thickBot="1" x14ac:dyDescent="0.35">
      <c r="A125" s="64" t="s">
        <v>133</v>
      </c>
      <c r="B125" s="64">
        <v>114006</v>
      </c>
      <c r="C125" s="35">
        <f t="shared" si="3"/>
        <v>5444</v>
      </c>
      <c r="D125" s="35">
        <f t="shared" si="4"/>
        <v>5694.333333333333</v>
      </c>
      <c r="E125" s="15">
        <v>3</v>
      </c>
      <c r="F125" s="65" t="s">
        <v>299</v>
      </c>
      <c r="G125" s="15" t="s">
        <v>300</v>
      </c>
      <c r="H125" s="15">
        <v>16332</v>
      </c>
      <c r="I125" s="15">
        <f t="shared" si="5"/>
        <v>17083</v>
      </c>
      <c r="J125" s="15">
        <v>17083</v>
      </c>
      <c r="K125" s="15">
        <v>0</v>
      </c>
      <c r="L125" s="15" t="s">
        <v>96</v>
      </c>
      <c r="M125" s="15" t="s">
        <v>419</v>
      </c>
    </row>
    <row r="126" spans="1:13" ht="31.8" thickBot="1" x14ac:dyDescent="0.35">
      <c r="A126" s="64" t="s">
        <v>133</v>
      </c>
      <c r="B126" s="64">
        <v>112057</v>
      </c>
      <c r="C126" s="35">
        <f t="shared" si="3"/>
        <v>37</v>
      </c>
      <c r="D126" s="35">
        <f t="shared" si="4"/>
        <v>51</v>
      </c>
      <c r="E126" s="15">
        <v>1</v>
      </c>
      <c r="F126" s="65" t="s">
        <v>299</v>
      </c>
      <c r="G126" s="15" t="s">
        <v>300</v>
      </c>
      <c r="H126" s="15">
        <v>37</v>
      </c>
      <c r="I126" s="15">
        <f t="shared" si="5"/>
        <v>51</v>
      </c>
      <c r="J126" s="15">
        <v>51</v>
      </c>
      <c r="K126" s="15">
        <v>0</v>
      </c>
      <c r="L126" s="15" t="s">
        <v>92</v>
      </c>
      <c r="M126" s="15" t="s">
        <v>420</v>
      </c>
    </row>
    <row r="127" spans="1:13" ht="234.6" thickBot="1" x14ac:dyDescent="0.35">
      <c r="A127" s="64" t="s">
        <v>133</v>
      </c>
      <c r="B127" s="64">
        <v>111005</v>
      </c>
      <c r="C127" s="35">
        <f t="shared" si="3"/>
        <v>2171</v>
      </c>
      <c r="D127" s="35">
        <f t="shared" si="4"/>
        <v>3011.25</v>
      </c>
      <c r="E127" s="15">
        <v>4</v>
      </c>
      <c r="F127" s="65">
        <v>2</v>
      </c>
      <c r="G127" s="15" t="s">
        <v>300</v>
      </c>
      <c r="H127" s="15">
        <v>8684</v>
      </c>
      <c r="I127" s="15">
        <f t="shared" si="5"/>
        <v>12045</v>
      </c>
      <c r="J127" s="15">
        <v>12045</v>
      </c>
      <c r="K127" s="15">
        <v>0</v>
      </c>
      <c r="L127" s="15" t="s">
        <v>94</v>
      </c>
      <c r="M127" s="15" t="s">
        <v>421</v>
      </c>
    </row>
    <row r="128" spans="1:13" ht="78.599999999999994" thickBot="1" x14ac:dyDescent="0.35">
      <c r="A128" s="64" t="s">
        <v>133</v>
      </c>
      <c r="B128" s="64">
        <v>117006</v>
      </c>
      <c r="C128" s="35">
        <f t="shared" si="3"/>
        <v>2774</v>
      </c>
      <c r="D128" s="35">
        <f t="shared" si="4"/>
        <v>3088</v>
      </c>
      <c r="E128" s="15">
        <v>1</v>
      </c>
      <c r="F128" s="65" t="s">
        <v>299</v>
      </c>
      <c r="G128" s="15" t="s">
        <v>300</v>
      </c>
      <c r="H128" s="15">
        <v>2774</v>
      </c>
      <c r="I128" s="15">
        <f t="shared" si="5"/>
        <v>3088</v>
      </c>
      <c r="J128" s="15">
        <v>3088</v>
      </c>
      <c r="K128" s="15">
        <v>0</v>
      </c>
      <c r="L128" s="15" t="s">
        <v>99</v>
      </c>
      <c r="M128" s="15" t="s">
        <v>422</v>
      </c>
    </row>
    <row r="129" spans="1:13" ht="16.2" thickBot="1" x14ac:dyDescent="0.35">
      <c r="A129" s="64" t="s">
        <v>133</v>
      </c>
      <c r="B129" s="64">
        <v>112036</v>
      </c>
      <c r="C129" s="35">
        <f t="shared" si="3"/>
        <v>942</v>
      </c>
      <c r="D129" s="35">
        <f t="shared" si="4"/>
        <v>950</v>
      </c>
      <c r="E129" s="15">
        <v>1</v>
      </c>
      <c r="F129" s="65" t="s">
        <v>299</v>
      </c>
      <c r="G129" s="15" t="s">
        <v>300</v>
      </c>
      <c r="H129" s="15">
        <v>942</v>
      </c>
      <c r="I129" s="15">
        <f t="shared" si="5"/>
        <v>950</v>
      </c>
      <c r="J129" s="15">
        <v>950</v>
      </c>
      <c r="K129" s="15">
        <v>0</v>
      </c>
      <c r="L129" s="15" t="s">
        <v>95</v>
      </c>
      <c r="M129" s="15" t="s">
        <v>423</v>
      </c>
    </row>
    <row r="130" spans="1:13" ht="156.6" thickBot="1" x14ac:dyDescent="0.35">
      <c r="A130" s="64" t="s">
        <v>133</v>
      </c>
      <c r="B130" s="64">
        <v>109005</v>
      </c>
      <c r="C130" s="35">
        <f t="shared" si="3"/>
        <v>2469.3333333333335</v>
      </c>
      <c r="D130" s="35">
        <f t="shared" si="4"/>
        <v>3283.5</v>
      </c>
      <c r="E130" s="15">
        <v>6</v>
      </c>
      <c r="F130" s="65">
        <v>1</v>
      </c>
      <c r="G130" s="15" t="s">
        <v>300</v>
      </c>
      <c r="H130" s="15">
        <v>14816</v>
      </c>
      <c r="I130" s="15">
        <f t="shared" si="5"/>
        <v>19701</v>
      </c>
      <c r="J130" s="15">
        <v>19701</v>
      </c>
      <c r="K130" s="15">
        <v>0</v>
      </c>
      <c r="L130" s="15" t="s">
        <v>89</v>
      </c>
      <c r="M130" s="15" t="s">
        <v>424</v>
      </c>
    </row>
    <row r="131" spans="1:13" ht="16.2" thickBot="1" x14ac:dyDescent="0.35">
      <c r="A131" s="64" t="s">
        <v>133</v>
      </c>
      <c r="B131" s="64">
        <v>103024</v>
      </c>
      <c r="C131" s="35">
        <f t="shared" si="3"/>
        <v>16</v>
      </c>
      <c r="D131" s="35">
        <f t="shared" si="4"/>
        <v>18</v>
      </c>
      <c r="E131" s="15">
        <v>1</v>
      </c>
      <c r="F131" s="65" t="s">
        <v>299</v>
      </c>
      <c r="G131" s="15" t="s">
        <v>300</v>
      </c>
      <c r="H131" s="15">
        <v>16</v>
      </c>
      <c r="I131" s="15">
        <f t="shared" si="5"/>
        <v>18</v>
      </c>
      <c r="J131" s="15">
        <v>18</v>
      </c>
      <c r="K131" s="15">
        <v>0</v>
      </c>
      <c r="L131" s="15" t="s">
        <v>87</v>
      </c>
      <c r="M131" s="15" t="s">
        <v>425</v>
      </c>
    </row>
    <row r="132" spans="1:13" ht="409.6" thickBot="1" x14ac:dyDescent="0.35">
      <c r="A132" s="64" t="s">
        <v>133</v>
      </c>
      <c r="B132" s="64">
        <v>112011</v>
      </c>
      <c r="C132" s="35">
        <f t="shared" si="3"/>
        <v>3793.7</v>
      </c>
      <c r="D132" s="35">
        <f t="shared" si="4"/>
        <v>4688.3</v>
      </c>
      <c r="E132" s="15">
        <v>10</v>
      </c>
      <c r="F132" s="65" t="s">
        <v>299</v>
      </c>
      <c r="G132" s="15" t="s">
        <v>300</v>
      </c>
      <c r="H132" s="15">
        <v>37937</v>
      </c>
      <c r="I132" s="15">
        <f t="shared" si="5"/>
        <v>46883</v>
      </c>
      <c r="J132" s="15">
        <v>46883</v>
      </c>
      <c r="K132" s="15">
        <v>0</v>
      </c>
      <c r="L132" s="15" t="s">
        <v>92</v>
      </c>
      <c r="M132" s="15" t="s">
        <v>426</v>
      </c>
    </row>
    <row r="133" spans="1:13" ht="16.2" thickBot="1" x14ac:dyDescent="0.35">
      <c r="A133" s="64" t="s">
        <v>133</v>
      </c>
      <c r="B133" s="64">
        <v>110026</v>
      </c>
      <c r="C133" s="35">
        <f t="shared" si="3"/>
        <v>498</v>
      </c>
      <c r="D133" s="35">
        <f t="shared" si="4"/>
        <v>541</v>
      </c>
      <c r="E133" s="15">
        <v>1</v>
      </c>
      <c r="F133" s="65" t="s">
        <v>299</v>
      </c>
      <c r="G133" s="15" t="s">
        <v>300</v>
      </c>
      <c r="H133" s="15">
        <v>498</v>
      </c>
      <c r="I133" s="15">
        <f t="shared" si="5"/>
        <v>541</v>
      </c>
      <c r="J133" s="15">
        <v>541</v>
      </c>
      <c r="K133" s="15">
        <v>0</v>
      </c>
      <c r="L133" s="15" t="s">
        <v>93</v>
      </c>
      <c r="M133" s="15" t="s">
        <v>427</v>
      </c>
    </row>
    <row r="134" spans="1:13" ht="31.8" thickBot="1" x14ac:dyDescent="0.35">
      <c r="A134" s="64" t="s">
        <v>133</v>
      </c>
      <c r="B134" s="64">
        <v>114082</v>
      </c>
      <c r="C134" s="35">
        <f t="shared" si="3"/>
        <v>4058</v>
      </c>
      <c r="D134" s="35">
        <f t="shared" si="4"/>
        <v>3945</v>
      </c>
      <c r="E134" s="15">
        <v>1</v>
      </c>
      <c r="F134" s="65" t="s">
        <v>299</v>
      </c>
      <c r="G134" s="15" t="s">
        <v>300</v>
      </c>
      <c r="H134" s="15">
        <v>4058</v>
      </c>
      <c r="I134" s="15">
        <f t="shared" si="5"/>
        <v>3945</v>
      </c>
      <c r="J134" s="15">
        <v>3945</v>
      </c>
      <c r="K134" s="15">
        <v>0</v>
      </c>
      <c r="L134" s="15" t="s">
        <v>96</v>
      </c>
      <c r="M134" s="15" t="s">
        <v>428</v>
      </c>
    </row>
    <row r="135" spans="1:13" ht="31.8" thickBot="1" x14ac:dyDescent="0.35">
      <c r="A135" s="64" t="s">
        <v>133</v>
      </c>
      <c r="B135" s="64">
        <v>109007</v>
      </c>
      <c r="C135" s="35">
        <f t="shared" si="3"/>
        <v>1459</v>
      </c>
      <c r="D135" s="35">
        <f t="shared" si="4"/>
        <v>1653</v>
      </c>
      <c r="E135" s="15">
        <v>1</v>
      </c>
      <c r="F135" s="65" t="s">
        <v>299</v>
      </c>
      <c r="G135" s="15" t="s">
        <v>300</v>
      </c>
      <c r="H135" s="15">
        <v>1459</v>
      </c>
      <c r="I135" s="15">
        <f t="shared" si="5"/>
        <v>1653</v>
      </c>
      <c r="J135" s="15">
        <v>1653</v>
      </c>
      <c r="K135" s="15">
        <v>0</v>
      </c>
      <c r="L135" s="15" t="s">
        <v>89</v>
      </c>
      <c r="M135" s="15" t="s">
        <v>367</v>
      </c>
    </row>
    <row r="136" spans="1:13" ht="63" thickBot="1" x14ac:dyDescent="0.35">
      <c r="A136" s="64" t="s">
        <v>133</v>
      </c>
      <c r="B136" s="64">
        <v>117007</v>
      </c>
      <c r="C136" s="35">
        <f t="shared" ref="C136:C199" si="6">H136/E136</f>
        <v>2013</v>
      </c>
      <c r="D136" s="35">
        <f t="shared" ref="D136:D199" si="7">I136/E136</f>
        <v>2332</v>
      </c>
      <c r="E136" s="15">
        <v>1</v>
      </c>
      <c r="F136" s="65" t="s">
        <v>299</v>
      </c>
      <c r="G136" s="15" t="s">
        <v>300</v>
      </c>
      <c r="H136" s="15">
        <v>2013</v>
      </c>
      <c r="I136" s="15">
        <f t="shared" si="5"/>
        <v>2332</v>
      </c>
      <c r="J136" s="15">
        <v>2332</v>
      </c>
      <c r="K136" s="15">
        <v>0</v>
      </c>
      <c r="L136" s="15" t="s">
        <v>99</v>
      </c>
      <c r="M136" s="15" t="s">
        <v>429</v>
      </c>
    </row>
    <row r="137" spans="1:13" ht="250.2" thickBot="1" x14ac:dyDescent="0.35">
      <c r="A137" s="64" t="s">
        <v>133</v>
      </c>
      <c r="B137" s="64">
        <v>112013</v>
      </c>
      <c r="C137" s="35">
        <f t="shared" si="6"/>
        <v>8160.333333333333</v>
      </c>
      <c r="D137" s="35">
        <f t="shared" si="7"/>
        <v>9886.6666666666661</v>
      </c>
      <c r="E137" s="15">
        <v>3</v>
      </c>
      <c r="F137" s="65" t="s">
        <v>299</v>
      </c>
      <c r="G137" s="15" t="s">
        <v>300</v>
      </c>
      <c r="H137" s="15">
        <v>24481</v>
      </c>
      <c r="I137" s="15">
        <f t="shared" ref="I137:I200" si="8">SUM(J137:K137)</f>
        <v>29660</v>
      </c>
      <c r="J137" s="15">
        <v>29660</v>
      </c>
      <c r="K137" s="15">
        <v>0</v>
      </c>
      <c r="L137" s="15" t="s">
        <v>430</v>
      </c>
      <c r="M137" s="15" t="s">
        <v>431</v>
      </c>
    </row>
    <row r="138" spans="1:13" ht="47.4" thickBot="1" x14ac:dyDescent="0.35">
      <c r="A138" s="64" t="s">
        <v>133</v>
      </c>
      <c r="B138" s="64">
        <v>118011</v>
      </c>
      <c r="C138" s="35">
        <f t="shared" si="6"/>
        <v>1778</v>
      </c>
      <c r="D138" s="35">
        <f t="shared" si="7"/>
        <v>1777</v>
      </c>
      <c r="E138" s="15">
        <v>1</v>
      </c>
      <c r="F138" s="65" t="s">
        <v>299</v>
      </c>
      <c r="G138" s="15" t="s">
        <v>300</v>
      </c>
      <c r="H138" s="15">
        <v>1778</v>
      </c>
      <c r="I138" s="15">
        <f t="shared" si="8"/>
        <v>1777</v>
      </c>
      <c r="J138" s="15">
        <v>1777</v>
      </c>
      <c r="K138" s="15">
        <v>0</v>
      </c>
      <c r="L138" s="15" t="s">
        <v>85</v>
      </c>
      <c r="M138" s="15" t="s">
        <v>432</v>
      </c>
    </row>
    <row r="139" spans="1:13" ht="47.4" thickBot="1" x14ac:dyDescent="0.35">
      <c r="A139" s="64" t="s">
        <v>133</v>
      </c>
      <c r="B139" s="64">
        <v>118012</v>
      </c>
      <c r="C139" s="35">
        <f t="shared" si="6"/>
        <v>701</v>
      </c>
      <c r="D139" s="35">
        <f t="shared" si="7"/>
        <v>1885</v>
      </c>
      <c r="E139" s="15">
        <v>1</v>
      </c>
      <c r="F139" s="65" t="s">
        <v>299</v>
      </c>
      <c r="G139" s="15" t="s">
        <v>300</v>
      </c>
      <c r="H139" s="15">
        <v>701</v>
      </c>
      <c r="I139" s="15">
        <f t="shared" si="8"/>
        <v>1885</v>
      </c>
      <c r="J139" s="15">
        <v>1885</v>
      </c>
      <c r="K139" s="15">
        <v>0</v>
      </c>
      <c r="L139" s="15" t="s">
        <v>85</v>
      </c>
      <c r="M139" s="15" t="s">
        <v>433</v>
      </c>
    </row>
    <row r="140" spans="1:13" ht="63" thickBot="1" x14ac:dyDescent="0.35">
      <c r="A140" s="64" t="s">
        <v>133</v>
      </c>
      <c r="B140" s="64">
        <v>109009</v>
      </c>
      <c r="C140" s="35">
        <f t="shared" si="6"/>
        <v>2305</v>
      </c>
      <c r="D140" s="35">
        <f t="shared" si="7"/>
        <v>2861.5</v>
      </c>
      <c r="E140" s="15">
        <v>2</v>
      </c>
      <c r="F140" s="65">
        <v>1</v>
      </c>
      <c r="G140" s="15" t="s">
        <v>300</v>
      </c>
      <c r="H140" s="15">
        <v>4610</v>
      </c>
      <c r="I140" s="15">
        <f t="shared" si="8"/>
        <v>5723</v>
      </c>
      <c r="J140" s="15">
        <v>5723</v>
      </c>
      <c r="K140" s="15">
        <v>0</v>
      </c>
      <c r="L140" s="15" t="s">
        <v>89</v>
      </c>
      <c r="M140" s="15" t="s">
        <v>434</v>
      </c>
    </row>
    <row r="141" spans="1:13" ht="78.599999999999994" thickBot="1" x14ac:dyDescent="0.35">
      <c r="A141" s="64" t="s">
        <v>133</v>
      </c>
      <c r="B141" s="64">
        <v>105003</v>
      </c>
      <c r="C141" s="35">
        <f t="shared" si="6"/>
        <v>1139</v>
      </c>
      <c r="D141" s="35">
        <f t="shared" si="7"/>
        <v>1162.5</v>
      </c>
      <c r="E141" s="15">
        <v>2</v>
      </c>
      <c r="F141" s="65" t="s">
        <v>299</v>
      </c>
      <c r="G141" s="15" t="s">
        <v>300</v>
      </c>
      <c r="H141" s="15">
        <v>2278</v>
      </c>
      <c r="I141" s="15">
        <f t="shared" si="8"/>
        <v>2325</v>
      </c>
      <c r="J141" s="15">
        <v>2325</v>
      </c>
      <c r="K141" s="15">
        <v>0</v>
      </c>
      <c r="L141" s="15" t="s">
        <v>88</v>
      </c>
      <c r="M141" s="15" t="s">
        <v>435</v>
      </c>
    </row>
    <row r="142" spans="1:13" ht="16.2" thickBot="1" x14ac:dyDescent="0.35">
      <c r="A142" s="64" t="s">
        <v>133</v>
      </c>
      <c r="B142" s="64">
        <v>105004</v>
      </c>
      <c r="C142" s="35">
        <f t="shared" si="6"/>
        <v>121</v>
      </c>
      <c r="D142" s="35">
        <f t="shared" si="7"/>
        <v>152.5</v>
      </c>
      <c r="E142" s="15">
        <v>2</v>
      </c>
      <c r="F142" s="65" t="s">
        <v>299</v>
      </c>
      <c r="G142" s="15" t="s">
        <v>309</v>
      </c>
      <c r="H142" s="15">
        <v>242</v>
      </c>
      <c r="I142" s="15">
        <f t="shared" si="8"/>
        <v>305</v>
      </c>
      <c r="J142" s="15">
        <v>305</v>
      </c>
      <c r="K142" s="15">
        <v>0</v>
      </c>
      <c r="L142" s="15" t="s">
        <v>88</v>
      </c>
      <c r="M142" s="15" t="s">
        <v>436</v>
      </c>
    </row>
    <row r="143" spans="1:13" ht="63" thickBot="1" x14ac:dyDescent="0.35">
      <c r="A143" s="64" t="s">
        <v>133</v>
      </c>
      <c r="B143" s="64">
        <v>105016</v>
      </c>
      <c r="C143" s="35">
        <f t="shared" si="6"/>
        <v>100.5</v>
      </c>
      <c r="D143" s="35">
        <f t="shared" si="7"/>
        <v>120</v>
      </c>
      <c r="E143" s="15">
        <v>2</v>
      </c>
      <c r="F143" s="65" t="s">
        <v>299</v>
      </c>
      <c r="G143" s="15" t="s">
        <v>309</v>
      </c>
      <c r="H143" s="15">
        <v>201</v>
      </c>
      <c r="I143" s="15">
        <f t="shared" si="8"/>
        <v>240</v>
      </c>
      <c r="J143" s="15">
        <v>240</v>
      </c>
      <c r="K143" s="15">
        <v>0</v>
      </c>
      <c r="L143" s="15" t="s">
        <v>88</v>
      </c>
      <c r="M143" s="15" t="s">
        <v>437</v>
      </c>
    </row>
    <row r="144" spans="1:13" ht="409.6" thickBot="1" x14ac:dyDescent="0.35">
      <c r="A144" s="64" t="s">
        <v>133</v>
      </c>
      <c r="B144" s="64">
        <v>105008</v>
      </c>
      <c r="C144" s="35">
        <f t="shared" si="6"/>
        <v>8009.3076923076924</v>
      </c>
      <c r="D144" s="35">
        <f t="shared" si="7"/>
        <v>10538.576923076924</v>
      </c>
      <c r="E144" s="15">
        <v>26</v>
      </c>
      <c r="F144" s="65">
        <v>1</v>
      </c>
      <c r="G144" s="15" t="s">
        <v>300</v>
      </c>
      <c r="H144" s="15">
        <v>208242</v>
      </c>
      <c r="I144" s="15">
        <f t="shared" si="8"/>
        <v>274003</v>
      </c>
      <c r="J144" s="15">
        <v>274003</v>
      </c>
      <c r="K144" s="15">
        <v>0</v>
      </c>
      <c r="L144" s="15" t="s">
        <v>88</v>
      </c>
      <c r="M144" s="15" t="s">
        <v>438</v>
      </c>
    </row>
    <row r="145" spans="1:13" ht="31.8" thickBot="1" x14ac:dyDescent="0.35">
      <c r="A145" s="64" t="s">
        <v>133</v>
      </c>
      <c r="B145" s="64">
        <v>105007</v>
      </c>
      <c r="C145" s="35">
        <f t="shared" si="6"/>
        <v>136.80000000000001</v>
      </c>
      <c r="D145" s="35">
        <f t="shared" si="7"/>
        <v>182</v>
      </c>
      <c r="E145" s="15">
        <v>5</v>
      </c>
      <c r="F145" s="65" t="s">
        <v>299</v>
      </c>
      <c r="G145" s="15" t="s">
        <v>309</v>
      </c>
      <c r="H145" s="15">
        <v>684</v>
      </c>
      <c r="I145" s="15">
        <f t="shared" si="8"/>
        <v>910</v>
      </c>
      <c r="J145" s="15">
        <v>910</v>
      </c>
      <c r="K145" s="15">
        <v>0</v>
      </c>
      <c r="L145" s="15" t="s">
        <v>88</v>
      </c>
      <c r="M145" s="15" t="s">
        <v>439</v>
      </c>
    </row>
    <row r="146" spans="1:13" ht="125.4" thickBot="1" x14ac:dyDescent="0.35">
      <c r="A146" s="64" t="s">
        <v>133</v>
      </c>
      <c r="B146" s="64">
        <v>112014</v>
      </c>
      <c r="C146" s="35">
        <f t="shared" si="6"/>
        <v>8183</v>
      </c>
      <c r="D146" s="35">
        <f t="shared" si="7"/>
        <v>8320</v>
      </c>
      <c r="E146" s="15">
        <v>1</v>
      </c>
      <c r="F146" s="65" t="s">
        <v>299</v>
      </c>
      <c r="G146" s="15" t="s">
        <v>300</v>
      </c>
      <c r="H146" s="15">
        <v>8183</v>
      </c>
      <c r="I146" s="15">
        <f t="shared" si="8"/>
        <v>8320</v>
      </c>
      <c r="J146" s="15">
        <v>8320</v>
      </c>
      <c r="K146" s="15">
        <v>0</v>
      </c>
      <c r="L146" s="15" t="s">
        <v>95</v>
      </c>
      <c r="M146" s="15" t="s">
        <v>440</v>
      </c>
    </row>
    <row r="147" spans="1:13" ht="31.8" thickBot="1" x14ac:dyDescent="0.35">
      <c r="A147" s="64" t="s">
        <v>133</v>
      </c>
      <c r="B147" s="64">
        <v>110003</v>
      </c>
      <c r="C147" s="35">
        <f t="shared" si="6"/>
        <v>750</v>
      </c>
      <c r="D147" s="35">
        <f t="shared" si="7"/>
        <v>577</v>
      </c>
      <c r="E147" s="15">
        <v>1</v>
      </c>
      <c r="F147" s="65" t="s">
        <v>299</v>
      </c>
      <c r="G147" s="15" t="s">
        <v>300</v>
      </c>
      <c r="H147" s="15">
        <v>750</v>
      </c>
      <c r="I147" s="15">
        <f t="shared" si="8"/>
        <v>577</v>
      </c>
      <c r="J147" s="15">
        <v>577</v>
      </c>
      <c r="K147" s="15">
        <v>0</v>
      </c>
      <c r="L147" s="15" t="s">
        <v>93</v>
      </c>
      <c r="M147" s="15" t="s">
        <v>441</v>
      </c>
    </row>
    <row r="148" spans="1:13" ht="16.2" thickBot="1" x14ac:dyDescent="0.35">
      <c r="A148" s="64" t="s">
        <v>133</v>
      </c>
      <c r="B148" s="64">
        <v>109060</v>
      </c>
      <c r="C148" s="35">
        <f t="shared" si="6"/>
        <v>290</v>
      </c>
      <c r="D148" s="35">
        <f t="shared" si="7"/>
        <v>303</v>
      </c>
      <c r="E148" s="15">
        <v>1</v>
      </c>
      <c r="F148" s="65" t="s">
        <v>299</v>
      </c>
      <c r="G148" s="15" t="s">
        <v>300</v>
      </c>
      <c r="H148" s="15">
        <v>290</v>
      </c>
      <c r="I148" s="15">
        <f t="shared" si="8"/>
        <v>303</v>
      </c>
      <c r="J148" s="15">
        <v>303</v>
      </c>
      <c r="K148" s="15">
        <v>0</v>
      </c>
      <c r="L148" s="15" t="s">
        <v>97</v>
      </c>
      <c r="M148" s="15" t="s">
        <v>442</v>
      </c>
    </row>
    <row r="149" spans="1:13" ht="31.8" thickBot="1" x14ac:dyDescent="0.35">
      <c r="A149" s="64" t="s">
        <v>133</v>
      </c>
      <c r="B149" s="64">
        <v>115012</v>
      </c>
      <c r="C149" s="35">
        <f t="shared" si="6"/>
        <v>27</v>
      </c>
      <c r="D149" s="35">
        <f t="shared" si="7"/>
        <v>27</v>
      </c>
      <c r="E149" s="15">
        <v>1</v>
      </c>
      <c r="F149" s="65" t="s">
        <v>299</v>
      </c>
      <c r="G149" s="15" t="s">
        <v>309</v>
      </c>
      <c r="H149" s="15">
        <v>27</v>
      </c>
      <c r="I149" s="15">
        <f t="shared" si="8"/>
        <v>27</v>
      </c>
      <c r="J149" s="15">
        <v>27</v>
      </c>
      <c r="K149" s="15">
        <v>0</v>
      </c>
      <c r="L149" s="15" t="s">
        <v>26</v>
      </c>
      <c r="M149" s="15" t="s">
        <v>443</v>
      </c>
    </row>
    <row r="150" spans="1:13" ht="47.4" thickBot="1" x14ac:dyDescent="0.35">
      <c r="A150" s="64" t="s">
        <v>133</v>
      </c>
      <c r="B150" s="64">
        <v>109011</v>
      </c>
      <c r="C150" s="35">
        <f t="shared" si="6"/>
        <v>250.5</v>
      </c>
      <c r="D150" s="35">
        <f t="shared" si="7"/>
        <v>270</v>
      </c>
      <c r="E150" s="15">
        <v>2</v>
      </c>
      <c r="F150" s="65" t="s">
        <v>299</v>
      </c>
      <c r="G150" s="15" t="s">
        <v>300</v>
      </c>
      <c r="H150" s="15">
        <v>501</v>
      </c>
      <c r="I150" s="15">
        <f t="shared" si="8"/>
        <v>540</v>
      </c>
      <c r="J150" s="15">
        <v>540</v>
      </c>
      <c r="K150" s="15">
        <v>0</v>
      </c>
      <c r="L150" s="15" t="s">
        <v>97</v>
      </c>
      <c r="M150" s="15" t="s">
        <v>444</v>
      </c>
    </row>
    <row r="151" spans="1:13" ht="31.8" thickBot="1" x14ac:dyDescent="0.35">
      <c r="A151" s="64" t="s">
        <v>133</v>
      </c>
      <c r="B151" s="64">
        <v>118002</v>
      </c>
      <c r="C151" s="35">
        <f t="shared" si="6"/>
        <v>1807</v>
      </c>
      <c r="D151" s="35">
        <f t="shared" si="7"/>
        <v>2254</v>
      </c>
      <c r="E151" s="15">
        <v>1</v>
      </c>
      <c r="F151" s="65" t="s">
        <v>299</v>
      </c>
      <c r="G151" s="15" t="s">
        <v>300</v>
      </c>
      <c r="H151" s="15">
        <v>1807</v>
      </c>
      <c r="I151" s="15">
        <f t="shared" si="8"/>
        <v>2254</v>
      </c>
      <c r="J151" s="15">
        <v>2254</v>
      </c>
      <c r="K151" s="15">
        <v>0</v>
      </c>
      <c r="L151" s="15" t="s">
        <v>85</v>
      </c>
      <c r="M151" s="15" t="s">
        <v>445</v>
      </c>
    </row>
    <row r="152" spans="1:13" ht="31.8" thickBot="1" x14ac:dyDescent="0.35">
      <c r="A152" s="64" t="s">
        <v>133</v>
      </c>
      <c r="B152" s="64">
        <v>106008</v>
      </c>
      <c r="C152" s="35">
        <f t="shared" si="6"/>
        <v>2317</v>
      </c>
      <c r="D152" s="35">
        <f t="shared" si="7"/>
        <v>1953</v>
      </c>
      <c r="E152" s="15">
        <v>1</v>
      </c>
      <c r="F152" s="65" t="s">
        <v>299</v>
      </c>
      <c r="G152" s="15" t="s">
        <v>300</v>
      </c>
      <c r="H152" s="15">
        <v>2317</v>
      </c>
      <c r="I152" s="15">
        <f t="shared" si="8"/>
        <v>1953</v>
      </c>
      <c r="J152" s="15">
        <v>1953</v>
      </c>
      <c r="K152" s="15">
        <v>0</v>
      </c>
      <c r="L152" s="15" t="s">
        <v>90</v>
      </c>
      <c r="M152" s="15" t="s">
        <v>446</v>
      </c>
    </row>
    <row r="153" spans="1:13" ht="172.2" thickBot="1" x14ac:dyDescent="0.35">
      <c r="A153" s="64" t="s">
        <v>133</v>
      </c>
      <c r="B153" s="64">
        <v>114007</v>
      </c>
      <c r="C153" s="35">
        <f t="shared" si="6"/>
        <v>3592</v>
      </c>
      <c r="D153" s="35">
        <f t="shared" si="7"/>
        <v>4552</v>
      </c>
      <c r="E153" s="15">
        <v>2</v>
      </c>
      <c r="F153" s="65" t="s">
        <v>299</v>
      </c>
      <c r="G153" s="15" t="s">
        <v>300</v>
      </c>
      <c r="H153" s="15">
        <v>7184</v>
      </c>
      <c r="I153" s="15">
        <f t="shared" si="8"/>
        <v>9104</v>
      </c>
      <c r="J153" s="15">
        <v>9104</v>
      </c>
      <c r="K153" s="15">
        <v>0</v>
      </c>
      <c r="L153" s="15" t="s">
        <v>96</v>
      </c>
      <c r="M153" s="15" t="s">
        <v>447</v>
      </c>
    </row>
    <row r="154" spans="1:13" ht="78.599999999999994" thickBot="1" x14ac:dyDescent="0.35">
      <c r="A154" s="64" t="s">
        <v>133</v>
      </c>
      <c r="B154" s="64">
        <v>114026</v>
      </c>
      <c r="C154" s="35">
        <f t="shared" si="6"/>
        <v>1769</v>
      </c>
      <c r="D154" s="35">
        <f t="shared" si="7"/>
        <v>2380</v>
      </c>
      <c r="E154" s="15">
        <v>1</v>
      </c>
      <c r="F154" s="65" t="s">
        <v>299</v>
      </c>
      <c r="G154" s="15" t="s">
        <v>300</v>
      </c>
      <c r="H154" s="15">
        <v>1769</v>
      </c>
      <c r="I154" s="15">
        <f t="shared" si="8"/>
        <v>2380</v>
      </c>
      <c r="J154" s="15">
        <v>2380</v>
      </c>
      <c r="K154" s="15">
        <v>0</v>
      </c>
      <c r="L154" s="15" t="s">
        <v>96</v>
      </c>
      <c r="M154" s="15" t="s">
        <v>448</v>
      </c>
    </row>
    <row r="155" spans="1:13" ht="94.2" thickBot="1" x14ac:dyDescent="0.35">
      <c r="A155" s="64" t="s">
        <v>133</v>
      </c>
      <c r="B155" s="64">
        <v>109012</v>
      </c>
      <c r="C155" s="35">
        <f t="shared" si="6"/>
        <v>2312</v>
      </c>
      <c r="D155" s="35">
        <f t="shared" si="7"/>
        <v>2600</v>
      </c>
      <c r="E155" s="15">
        <v>1</v>
      </c>
      <c r="F155" s="65" t="s">
        <v>299</v>
      </c>
      <c r="G155" s="15" t="s">
        <v>300</v>
      </c>
      <c r="H155" s="15">
        <v>2312</v>
      </c>
      <c r="I155" s="15">
        <f t="shared" si="8"/>
        <v>2600</v>
      </c>
      <c r="J155" s="15">
        <v>2600</v>
      </c>
      <c r="K155" s="15">
        <v>0</v>
      </c>
      <c r="L155" s="15" t="s">
        <v>97</v>
      </c>
      <c r="M155" s="15" t="s">
        <v>449</v>
      </c>
    </row>
    <row r="156" spans="1:13" ht="47.4" thickBot="1" x14ac:dyDescent="0.35">
      <c r="A156" s="64" t="s">
        <v>133</v>
      </c>
      <c r="B156" s="64">
        <v>118003</v>
      </c>
      <c r="C156" s="35">
        <f t="shared" si="6"/>
        <v>3490</v>
      </c>
      <c r="D156" s="35">
        <f t="shared" si="7"/>
        <v>4476</v>
      </c>
      <c r="E156" s="15">
        <v>1</v>
      </c>
      <c r="F156" s="65" t="s">
        <v>299</v>
      </c>
      <c r="G156" s="15" t="s">
        <v>300</v>
      </c>
      <c r="H156" s="15">
        <v>3490</v>
      </c>
      <c r="I156" s="15">
        <f t="shared" si="8"/>
        <v>4476</v>
      </c>
      <c r="J156" s="15">
        <v>4476</v>
      </c>
      <c r="K156" s="15">
        <v>0</v>
      </c>
      <c r="L156" s="15" t="s">
        <v>85</v>
      </c>
      <c r="M156" s="15" t="s">
        <v>450</v>
      </c>
    </row>
    <row r="157" spans="1:13" ht="63" thickBot="1" x14ac:dyDescent="0.35">
      <c r="A157" s="64" t="s">
        <v>133</v>
      </c>
      <c r="B157" s="64">
        <v>110004</v>
      </c>
      <c r="C157" s="35">
        <f t="shared" si="6"/>
        <v>222.5</v>
      </c>
      <c r="D157" s="35">
        <f t="shared" si="7"/>
        <v>245.25</v>
      </c>
      <c r="E157" s="15">
        <v>4</v>
      </c>
      <c r="F157" s="65" t="s">
        <v>299</v>
      </c>
      <c r="G157" s="15" t="s">
        <v>300</v>
      </c>
      <c r="H157" s="15">
        <v>890</v>
      </c>
      <c r="I157" s="15">
        <f t="shared" si="8"/>
        <v>981</v>
      </c>
      <c r="J157" s="15">
        <v>981</v>
      </c>
      <c r="K157" s="15">
        <v>0</v>
      </c>
      <c r="L157" s="15" t="s">
        <v>93</v>
      </c>
      <c r="M157" s="15" t="s">
        <v>451</v>
      </c>
    </row>
    <row r="158" spans="1:13" ht="47.4" thickBot="1" x14ac:dyDescent="0.35">
      <c r="A158" s="64" t="s">
        <v>133</v>
      </c>
      <c r="B158" s="64">
        <v>110005</v>
      </c>
      <c r="C158" s="35">
        <f t="shared" si="6"/>
        <v>1369</v>
      </c>
      <c r="D158" s="35">
        <f t="shared" si="7"/>
        <v>1553.5</v>
      </c>
      <c r="E158" s="15">
        <v>2</v>
      </c>
      <c r="F158" s="65" t="s">
        <v>299</v>
      </c>
      <c r="G158" s="15" t="s">
        <v>300</v>
      </c>
      <c r="H158" s="15">
        <v>2738</v>
      </c>
      <c r="I158" s="15">
        <f t="shared" si="8"/>
        <v>3107</v>
      </c>
      <c r="J158" s="15">
        <v>3107</v>
      </c>
      <c r="K158" s="15">
        <v>0</v>
      </c>
      <c r="L158" s="15" t="s">
        <v>93</v>
      </c>
      <c r="M158" s="15" t="s">
        <v>452</v>
      </c>
    </row>
    <row r="159" spans="1:13" ht="31.8" thickBot="1" x14ac:dyDescent="0.35">
      <c r="A159" s="64" t="s">
        <v>133</v>
      </c>
      <c r="B159" s="64">
        <v>117008</v>
      </c>
      <c r="C159" s="35">
        <f t="shared" si="6"/>
        <v>977</v>
      </c>
      <c r="D159" s="35">
        <f t="shared" si="7"/>
        <v>1135</v>
      </c>
      <c r="E159" s="15">
        <v>2</v>
      </c>
      <c r="F159" s="65" t="s">
        <v>299</v>
      </c>
      <c r="G159" s="15" t="s">
        <v>300</v>
      </c>
      <c r="H159" s="15">
        <v>1954</v>
      </c>
      <c r="I159" s="15">
        <f t="shared" si="8"/>
        <v>2270</v>
      </c>
      <c r="J159" s="15">
        <v>2270</v>
      </c>
      <c r="K159" s="15">
        <v>0</v>
      </c>
      <c r="L159" s="15" t="s">
        <v>99</v>
      </c>
      <c r="M159" s="15" t="s">
        <v>453</v>
      </c>
    </row>
    <row r="160" spans="1:13" ht="78.599999999999994" thickBot="1" x14ac:dyDescent="0.35">
      <c r="A160" s="64" t="s">
        <v>133</v>
      </c>
      <c r="B160" s="64">
        <v>111008</v>
      </c>
      <c r="C160" s="35">
        <f t="shared" si="6"/>
        <v>6995</v>
      </c>
      <c r="D160" s="35">
        <f t="shared" si="7"/>
        <v>7897</v>
      </c>
      <c r="E160" s="15">
        <v>1</v>
      </c>
      <c r="F160" s="65" t="s">
        <v>299</v>
      </c>
      <c r="G160" s="15" t="s">
        <v>300</v>
      </c>
      <c r="H160" s="15">
        <v>6995</v>
      </c>
      <c r="I160" s="15">
        <f t="shared" si="8"/>
        <v>7897</v>
      </c>
      <c r="J160" s="15">
        <v>7897</v>
      </c>
      <c r="K160" s="15">
        <v>0</v>
      </c>
      <c r="L160" s="15" t="s">
        <v>94</v>
      </c>
      <c r="M160" s="15" t="s">
        <v>454</v>
      </c>
    </row>
    <row r="161" spans="1:13" ht="16.2" thickBot="1" x14ac:dyDescent="0.35">
      <c r="A161" s="64" t="s">
        <v>133</v>
      </c>
      <c r="B161" s="64">
        <v>110050</v>
      </c>
      <c r="C161" s="35">
        <f t="shared" si="6"/>
        <v>654</v>
      </c>
      <c r="D161" s="35">
        <f t="shared" si="7"/>
        <v>698</v>
      </c>
      <c r="E161" s="15">
        <v>1</v>
      </c>
      <c r="F161" s="65" t="s">
        <v>299</v>
      </c>
      <c r="G161" s="15" t="s">
        <v>300</v>
      </c>
      <c r="H161" s="15">
        <v>654</v>
      </c>
      <c r="I161" s="15">
        <f t="shared" si="8"/>
        <v>698</v>
      </c>
      <c r="J161" s="15">
        <v>698</v>
      </c>
      <c r="K161" s="15">
        <v>0</v>
      </c>
      <c r="L161" s="15" t="s">
        <v>93</v>
      </c>
      <c r="M161" s="15" t="s">
        <v>304</v>
      </c>
    </row>
    <row r="162" spans="1:13" ht="47.4" thickBot="1" x14ac:dyDescent="0.35">
      <c r="A162" s="64" t="s">
        <v>133</v>
      </c>
      <c r="B162" s="64">
        <v>108006</v>
      </c>
      <c r="C162" s="35">
        <f t="shared" si="6"/>
        <v>1655</v>
      </c>
      <c r="D162" s="35">
        <f t="shared" si="7"/>
        <v>2856</v>
      </c>
      <c r="E162" s="15">
        <v>1</v>
      </c>
      <c r="F162" s="65" t="s">
        <v>299</v>
      </c>
      <c r="G162" s="15" t="s">
        <v>300</v>
      </c>
      <c r="H162" s="15">
        <v>1655</v>
      </c>
      <c r="I162" s="15">
        <f t="shared" si="8"/>
        <v>2856</v>
      </c>
      <c r="J162" s="15">
        <v>2856</v>
      </c>
      <c r="K162" s="15">
        <v>0</v>
      </c>
      <c r="L162" s="15" t="s">
        <v>97</v>
      </c>
      <c r="M162" s="15" t="s">
        <v>455</v>
      </c>
    </row>
    <row r="163" spans="1:13" ht="78.599999999999994" thickBot="1" x14ac:dyDescent="0.35">
      <c r="A163" s="64" t="s">
        <v>133</v>
      </c>
      <c r="B163" s="64">
        <v>109015</v>
      </c>
      <c r="C163" s="35">
        <f t="shared" si="6"/>
        <v>1635.6666666666667</v>
      </c>
      <c r="D163" s="35">
        <f t="shared" si="7"/>
        <v>2008.6666666666667</v>
      </c>
      <c r="E163" s="15">
        <v>3</v>
      </c>
      <c r="F163" s="65" t="s">
        <v>299</v>
      </c>
      <c r="G163" s="15" t="s">
        <v>300</v>
      </c>
      <c r="H163" s="15">
        <v>4907</v>
      </c>
      <c r="I163" s="15">
        <f t="shared" si="8"/>
        <v>6026</v>
      </c>
      <c r="J163" s="15">
        <v>6026</v>
      </c>
      <c r="K163" s="15">
        <v>0</v>
      </c>
      <c r="L163" s="15" t="s">
        <v>97</v>
      </c>
      <c r="M163" s="15" t="s">
        <v>456</v>
      </c>
    </row>
    <row r="164" spans="1:13" ht="63" thickBot="1" x14ac:dyDescent="0.35">
      <c r="A164" s="64" t="s">
        <v>133</v>
      </c>
      <c r="B164" s="64">
        <v>104006</v>
      </c>
      <c r="C164" s="35">
        <f t="shared" si="6"/>
        <v>1930.5</v>
      </c>
      <c r="D164" s="35">
        <f t="shared" si="7"/>
        <v>2141</v>
      </c>
      <c r="E164" s="15">
        <v>2</v>
      </c>
      <c r="F164" s="65">
        <v>1</v>
      </c>
      <c r="G164" s="15" t="s">
        <v>300</v>
      </c>
      <c r="H164" s="15">
        <v>3861</v>
      </c>
      <c r="I164" s="15">
        <f t="shared" si="8"/>
        <v>4282</v>
      </c>
      <c r="J164" s="15">
        <v>4282</v>
      </c>
      <c r="K164" s="15">
        <v>0</v>
      </c>
      <c r="L164" s="15" t="s">
        <v>100</v>
      </c>
      <c r="M164" s="15" t="s">
        <v>457</v>
      </c>
    </row>
    <row r="165" spans="1:13" ht="94.2" thickBot="1" x14ac:dyDescent="0.35">
      <c r="A165" s="64" t="s">
        <v>133</v>
      </c>
      <c r="B165" s="64">
        <v>104007</v>
      </c>
      <c r="C165" s="35">
        <f t="shared" si="6"/>
        <v>2049.3333333333335</v>
      </c>
      <c r="D165" s="35">
        <f t="shared" si="7"/>
        <v>2620.3333333333335</v>
      </c>
      <c r="E165" s="15">
        <v>3</v>
      </c>
      <c r="F165" s="65" t="s">
        <v>299</v>
      </c>
      <c r="G165" s="15" t="s">
        <v>300</v>
      </c>
      <c r="H165" s="15">
        <v>6148</v>
      </c>
      <c r="I165" s="15">
        <f t="shared" si="8"/>
        <v>7861</v>
      </c>
      <c r="J165" s="15">
        <v>7861</v>
      </c>
      <c r="K165" s="15">
        <v>0</v>
      </c>
      <c r="L165" s="15" t="s">
        <v>100</v>
      </c>
      <c r="M165" s="15" t="s">
        <v>458</v>
      </c>
    </row>
    <row r="166" spans="1:13" ht="63" thickBot="1" x14ac:dyDescent="0.35">
      <c r="A166" s="64" t="s">
        <v>133</v>
      </c>
      <c r="B166" s="64">
        <v>108007</v>
      </c>
      <c r="C166" s="35">
        <f t="shared" si="6"/>
        <v>1138</v>
      </c>
      <c r="D166" s="35">
        <f t="shared" si="7"/>
        <v>1180</v>
      </c>
      <c r="E166" s="15">
        <v>1</v>
      </c>
      <c r="F166" s="65" t="s">
        <v>299</v>
      </c>
      <c r="G166" s="15" t="s">
        <v>300</v>
      </c>
      <c r="H166" s="15">
        <v>1138</v>
      </c>
      <c r="I166" s="15">
        <f t="shared" si="8"/>
        <v>1180</v>
      </c>
      <c r="J166" s="15">
        <v>1180</v>
      </c>
      <c r="K166" s="15">
        <v>0</v>
      </c>
      <c r="L166" s="15" t="s">
        <v>92</v>
      </c>
      <c r="M166" s="15" t="s">
        <v>459</v>
      </c>
    </row>
    <row r="167" spans="1:13" ht="63" thickBot="1" x14ac:dyDescent="0.35">
      <c r="A167" s="64" t="s">
        <v>133</v>
      </c>
      <c r="B167" s="64">
        <v>104008</v>
      </c>
      <c r="C167" s="35">
        <f t="shared" si="6"/>
        <v>2223</v>
      </c>
      <c r="D167" s="35">
        <f t="shared" si="7"/>
        <v>4295</v>
      </c>
      <c r="E167" s="15">
        <v>1</v>
      </c>
      <c r="F167" s="65" t="s">
        <v>299</v>
      </c>
      <c r="G167" s="15" t="s">
        <v>300</v>
      </c>
      <c r="H167" s="15">
        <v>2223</v>
      </c>
      <c r="I167" s="15">
        <f t="shared" si="8"/>
        <v>4295</v>
      </c>
      <c r="J167" s="15">
        <v>4295</v>
      </c>
      <c r="K167" s="15">
        <v>0</v>
      </c>
      <c r="L167" s="15" t="s">
        <v>100</v>
      </c>
      <c r="M167" s="15" t="s">
        <v>460</v>
      </c>
    </row>
    <row r="168" spans="1:13" ht="16.2" thickBot="1" x14ac:dyDescent="0.35">
      <c r="A168" s="64" t="s">
        <v>133</v>
      </c>
      <c r="B168" s="64">
        <v>104025</v>
      </c>
      <c r="C168" s="35">
        <f t="shared" si="6"/>
        <v>110</v>
      </c>
      <c r="D168" s="35">
        <f t="shared" si="7"/>
        <v>516</v>
      </c>
      <c r="E168" s="15">
        <v>1</v>
      </c>
      <c r="F168" s="65" t="s">
        <v>299</v>
      </c>
      <c r="G168" s="15" t="s">
        <v>300</v>
      </c>
      <c r="H168" s="15">
        <v>110</v>
      </c>
      <c r="I168" s="15">
        <f t="shared" si="8"/>
        <v>516</v>
      </c>
      <c r="J168" s="15">
        <v>516</v>
      </c>
      <c r="K168" s="15">
        <v>0</v>
      </c>
      <c r="L168" s="15" t="s">
        <v>100</v>
      </c>
      <c r="M168" s="15" t="s">
        <v>461</v>
      </c>
    </row>
    <row r="169" spans="1:13" ht="31.8" thickBot="1" x14ac:dyDescent="0.35">
      <c r="A169" s="64" t="s">
        <v>133</v>
      </c>
      <c r="B169" s="64">
        <v>117009</v>
      </c>
      <c r="C169" s="35">
        <f t="shared" si="6"/>
        <v>1841</v>
      </c>
      <c r="D169" s="35">
        <f t="shared" si="7"/>
        <v>2033</v>
      </c>
      <c r="E169" s="15">
        <v>1</v>
      </c>
      <c r="F169" s="65" t="s">
        <v>299</v>
      </c>
      <c r="G169" s="15" t="s">
        <v>300</v>
      </c>
      <c r="H169" s="15">
        <v>1841</v>
      </c>
      <c r="I169" s="15">
        <f t="shared" si="8"/>
        <v>2033</v>
      </c>
      <c r="J169" s="15">
        <v>2033</v>
      </c>
      <c r="K169" s="15">
        <v>0</v>
      </c>
      <c r="L169" s="15" t="s">
        <v>99</v>
      </c>
      <c r="M169" s="15" t="s">
        <v>462</v>
      </c>
    </row>
    <row r="170" spans="1:13" ht="219" thickBot="1" x14ac:dyDescent="0.35">
      <c r="A170" s="64" t="s">
        <v>133</v>
      </c>
      <c r="B170" s="64">
        <v>118009</v>
      </c>
      <c r="C170" s="35">
        <f t="shared" si="6"/>
        <v>3915.5</v>
      </c>
      <c r="D170" s="35">
        <f t="shared" si="7"/>
        <v>4528.5</v>
      </c>
      <c r="E170" s="15">
        <v>4</v>
      </c>
      <c r="F170" s="65" t="s">
        <v>299</v>
      </c>
      <c r="G170" s="15" t="s">
        <v>300</v>
      </c>
      <c r="H170" s="15">
        <v>15662</v>
      </c>
      <c r="I170" s="15">
        <f t="shared" si="8"/>
        <v>18114</v>
      </c>
      <c r="J170" s="15">
        <v>18114</v>
      </c>
      <c r="K170" s="15">
        <v>0</v>
      </c>
      <c r="L170" s="15" t="s">
        <v>85</v>
      </c>
      <c r="M170" s="15" t="s">
        <v>463</v>
      </c>
    </row>
    <row r="171" spans="1:13" ht="16.2" thickBot="1" x14ac:dyDescent="0.35">
      <c r="A171" s="64" t="s">
        <v>133</v>
      </c>
      <c r="B171" s="64">
        <v>109081</v>
      </c>
      <c r="C171" s="35">
        <f t="shared" si="6"/>
        <v>187</v>
      </c>
      <c r="D171" s="35">
        <f t="shared" si="7"/>
        <v>235</v>
      </c>
      <c r="E171" s="15">
        <v>1</v>
      </c>
      <c r="F171" s="65" t="s">
        <v>299</v>
      </c>
      <c r="G171" s="15" t="s">
        <v>300</v>
      </c>
      <c r="H171" s="15">
        <v>187</v>
      </c>
      <c r="I171" s="15">
        <f t="shared" si="8"/>
        <v>235</v>
      </c>
      <c r="J171" s="15">
        <v>235</v>
      </c>
      <c r="K171" s="15">
        <v>0</v>
      </c>
      <c r="L171" s="15" t="s">
        <v>97</v>
      </c>
      <c r="M171" s="15" t="s">
        <v>464</v>
      </c>
    </row>
    <row r="172" spans="1:13" ht="31.8" thickBot="1" x14ac:dyDescent="0.35">
      <c r="A172" s="64" t="s">
        <v>133</v>
      </c>
      <c r="B172" s="64">
        <v>118167</v>
      </c>
      <c r="C172" s="35">
        <f t="shared" si="6"/>
        <v>56</v>
      </c>
      <c r="D172" s="35">
        <f t="shared" si="7"/>
        <v>64</v>
      </c>
      <c r="E172" s="15">
        <v>1</v>
      </c>
      <c r="F172" s="65" t="s">
        <v>299</v>
      </c>
      <c r="G172" s="15" t="s">
        <v>300</v>
      </c>
      <c r="H172" s="15">
        <v>56</v>
      </c>
      <c r="I172" s="15">
        <f t="shared" si="8"/>
        <v>64</v>
      </c>
      <c r="J172" s="15">
        <v>64</v>
      </c>
      <c r="K172" s="15">
        <v>0</v>
      </c>
      <c r="L172" s="15" t="s">
        <v>99</v>
      </c>
      <c r="M172" s="15" t="s">
        <v>465</v>
      </c>
    </row>
    <row r="173" spans="1:13" ht="47.4" thickBot="1" x14ac:dyDescent="0.35">
      <c r="A173" s="64" t="s">
        <v>133</v>
      </c>
      <c r="B173" s="64">
        <v>117010</v>
      </c>
      <c r="C173" s="35">
        <f t="shared" si="6"/>
        <v>911.66666666666663</v>
      </c>
      <c r="D173" s="35">
        <f t="shared" si="7"/>
        <v>904.66666666666663</v>
      </c>
      <c r="E173" s="15">
        <v>3</v>
      </c>
      <c r="F173" s="65">
        <v>1</v>
      </c>
      <c r="G173" s="15" t="s">
        <v>300</v>
      </c>
      <c r="H173" s="15">
        <v>2735</v>
      </c>
      <c r="I173" s="15">
        <f t="shared" si="8"/>
        <v>2714</v>
      </c>
      <c r="J173" s="15">
        <v>2714</v>
      </c>
      <c r="K173" s="15">
        <v>0</v>
      </c>
      <c r="L173" s="15" t="s">
        <v>99</v>
      </c>
      <c r="M173" s="15" t="s">
        <v>466</v>
      </c>
    </row>
    <row r="174" spans="1:13" ht="31.8" thickBot="1" x14ac:dyDescent="0.35">
      <c r="A174" s="64" t="s">
        <v>133</v>
      </c>
      <c r="B174" s="64">
        <v>105009</v>
      </c>
      <c r="C174" s="35">
        <f t="shared" si="6"/>
        <v>1041</v>
      </c>
      <c r="D174" s="35">
        <f t="shared" si="7"/>
        <v>1643</v>
      </c>
      <c r="E174" s="15">
        <v>1</v>
      </c>
      <c r="F174" s="65" t="s">
        <v>299</v>
      </c>
      <c r="G174" s="15" t="s">
        <v>300</v>
      </c>
      <c r="H174" s="15">
        <v>1041</v>
      </c>
      <c r="I174" s="15">
        <f t="shared" si="8"/>
        <v>1643</v>
      </c>
      <c r="J174" s="15">
        <v>1643</v>
      </c>
      <c r="K174" s="15">
        <v>0</v>
      </c>
      <c r="L174" s="15" t="s">
        <v>88</v>
      </c>
      <c r="M174" s="15" t="s">
        <v>467</v>
      </c>
    </row>
    <row r="175" spans="1:13" ht="47.4" thickBot="1" x14ac:dyDescent="0.35">
      <c r="A175" s="64" t="s">
        <v>133</v>
      </c>
      <c r="B175" s="64">
        <v>109024</v>
      </c>
      <c r="C175" s="35">
        <f t="shared" si="6"/>
        <v>358</v>
      </c>
      <c r="D175" s="35">
        <f t="shared" si="7"/>
        <v>455</v>
      </c>
      <c r="E175" s="15">
        <v>1</v>
      </c>
      <c r="F175" s="65" t="s">
        <v>299</v>
      </c>
      <c r="G175" s="15" t="s">
        <v>300</v>
      </c>
      <c r="H175" s="15">
        <v>358</v>
      </c>
      <c r="I175" s="15">
        <f t="shared" si="8"/>
        <v>455</v>
      </c>
      <c r="J175" s="15">
        <v>455</v>
      </c>
      <c r="K175" s="15">
        <v>0</v>
      </c>
      <c r="L175" s="15" t="s">
        <v>89</v>
      </c>
      <c r="M175" s="15" t="s">
        <v>468</v>
      </c>
    </row>
    <row r="176" spans="1:13" ht="31.8" thickBot="1" x14ac:dyDescent="0.35">
      <c r="A176" s="64" t="s">
        <v>133</v>
      </c>
      <c r="B176" s="64">
        <v>116025</v>
      </c>
      <c r="C176" s="35">
        <f t="shared" si="6"/>
        <v>1126.5</v>
      </c>
      <c r="D176" s="35">
        <f t="shared" si="7"/>
        <v>1181</v>
      </c>
      <c r="E176" s="15">
        <v>2</v>
      </c>
      <c r="F176" s="65" t="s">
        <v>299</v>
      </c>
      <c r="G176" s="15" t="s">
        <v>300</v>
      </c>
      <c r="H176" s="15">
        <v>2253</v>
      </c>
      <c r="I176" s="15">
        <f t="shared" si="8"/>
        <v>2362</v>
      </c>
      <c r="J176" s="15">
        <v>2362</v>
      </c>
      <c r="K176" s="15">
        <v>0</v>
      </c>
      <c r="L176" s="15" t="s">
        <v>98</v>
      </c>
      <c r="M176" s="15" t="s">
        <v>469</v>
      </c>
    </row>
    <row r="177" spans="1:13" ht="94.2" thickBot="1" x14ac:dyDescent="0.35">
      <c r="A177" s="64" t="s">
        <v>133</v>
      </c>
      <c r="B177" s="64">
        <v>116027</v>
      </c>
      <c r="C177" s="35">
        <f t="shared" si="6"/>
        <v>1630.5</v>
      </c>
      <c r="D177" s="35">
        <f t="shared" si="7"/>
        <v>2074</v>
      </c>
      <c r="E177" s="15">
        <v>2</v>
      </c>
      <c r="F177" s="65" t="s">
        <v>299</v>
      </c>
      <c r="G177" s="15" t="s">
        <v>300</v>
      </c>
      <c r="H177" s="15">
        <v>3261</v>
      </c>
      <c r="I177" s="15">
        <f t="shared" si="8"/>
        <v>4148</v>
      </c>
      <c r="J177" s="15">
        <v>4148</v>
      </c>
      <c r="K177" s="15">
        <v>0</v>
      </c>
      <c r="L177" s="15" t="s">
        <v>98</v>
      </c>
      <c r="M177" s="15" t="s">
        <v>470</v>
      </c>
    </row>
    <row r="178" spans="1:13" ht="63" thickBot="1" x14ac:dyDescent="0.35">
      <c r="A178" s="64" t="s">
        <v>133</v>
      </c>
      <c r="B178" s="64">
        <v>116001</v>
      </c>
      <c r="C178" s="35">
        <f t="shared" si="6"/>
        <v>743</v>
      </c>
      <c r="D178" s="35">
        <f t="shared" si="7"/>
        <v>763</v>
      </c>
      <c r="E178" s="15">
        <v>1</v>
      </c>
      <c r="F178" s="65" t="s">
        <v>299</v>
      </c>
      <c r="G178" s="15" t="s">
        <v>300</v>
      </c>
      <c r="H178" s="15">
        <v>743</v>
      </c>
      <c r="I178" s="15">
        <f t="shared" si="8"/>
        <v>763</v>
      </c>
      <c r="J178" s="15">
        <v>763</v>
      </c>
      <c r="K178" s="15">
        <v>0</v>
      </c>
      <c r="L178" s="15" t="s">
        <v>98</v>
      </c>
      <c r="M178" s="15" t="s">
        <v>471</v>
      </c>
    </row>
    <row r="179" spans="1:13" ht="16.2" thickBot="1" x14ac:dyDescent="0.35">
      <c r="A179" s="64" t="s">
        <v>133</v>
      </c>
      <c r="B179" s="64">
        <v>110008</v>
      </c>
      <c r="C179" s="35">
        <f t="shared" si="6"/>
        <v>367</v>
      </c>
      <c r="D179" s="35">
        <f t="shared" si="7"/>
        <v>344</v>
      </c>
      <c r="E179" s="15">
        <v>1</v>
      </c>
      <c r="F179" s="65" t="s">
        <v>299</v>
      </c>
      <c r="G179" s="15" t="s">
        <v>300</v>
      </c>
      <c r="H179" s="15">
        <v>367</v>
      </c>
      <c r="I179" s="15">
        <f t="shared" si="8"/>
        <v>344</v>
      </c>
      <c r="J179" s="15">
        <v>344</v>
      </c>
      <c r="K179" s="15">
        <v>0</v>
      </c>
      <c r="L179" s="15" t="s">
        <v>93</v>
      </c>
      <c r="M179" s="15" t="s">
        <v>346</v>
      </c>
    </row>
    <row r="180" spans="1:13" ht="16.2" thickBot="1" x14ac:dyDescent="0.35">
      <c r="A180" s="64" t="s">
        <v>133</v>
      </c>
      <c r="B180" s="64">
        <v>112017</v>
      </c>
      <c r="C180" s="35">
        <f t="shared" si="6"/>
        <v>1761</v>
      </c>
      <c r="D180" s="35">
        <f t="shared" si="7"/>
        <v>1766</v>
      </c>
      <c r="E180" s="15">
        <v>1</v>
      </c>
      <c r="F180" s="65" t="s">
        <v>299</v>
      </c>
      <c r="G180" s="15" t="s">
        <v>300</v>
      </c>
      <c r="H180" s="15">
        <v>1761</v>
      </c>
      <c r="I180" s="15">
        <f t="shared" si="8"/>
        <v>1766</v>
      </c>
      <c r="J180" s="15">
        <v>1766</v>
      </c>
      <c r="K180" s="15">
        <v>0</v>
      </c>
      <c r="L180" s="15" t="s">
        <v>92</v>
      </c>
      <c r="M180" s="15" t="s">
        <v>472</v>
      </c>
    </row>
    <row r="181" spans="1:13" ht="31.8" thickBot="1" x14ac:dyDescent="0.35">
      <c r="A181" s="64" t="s">
        <v>133</v>
      </c>
      <c r="B181" s="64">
        <v>108062</v>
      </c>
      <c r="C181" s="35">
        <f t="shared" si="6"/>
        <v>103</v>
      </c>
      <c r="D181" s="35">
        <f t="shared" si="7"/>
        <v>159</v>
      </c>
      <c r="E181" s="15">
        <v>1</v>
      </c>
      <c r="F181" s="65">
        <v>1</v>
      </c>
      <c r="G181" s="15" t="s">
        <v>300</v>
      </c>
      <c r="H181" s="15">
        <v>103</v>
      </c>
      <c r="I181" s="15">
        <f t="shared" si="8"/>
        <v>159</v>
      </c>
      <c r="J181" s="15">
        <v>159</v>
      </c>
      <c r="K181" s="15">
        <v>0</v>
      </c>
      <c r="L181" s="15" t="s">
        <v>92</v>
      </c>
      <c r="M181" s="15" t="s">
        <v>473</v>
      </c>
    </row>
    <row r="182" spans="1:13" ht="63" thickBot="1" x14ac:dyDescent="0.35">
      <c r="A182" s="64" t="s">
        <v>133</v>
      </c>
      <c r="B182" s="64">
        <v>105011</v>
      </c>
      <c r="C182" s="35">
        <f t="shared" si="6"/>
        <v>4142</v>
      </c>
      <c r="D182" s="35">
        <f t="shared" si="7"/>
        <v>5494</v>
      </c>
      <c r="E182" s="15">
        <v>1</v>
      </c>
      <c r="F182" s="65" t="s">
        <v>299</v>
      </c>
      <c r="G182" s="15" t="s">
        <v>300</v>
      </c>
      <c r="H182" s="15">
        <v>4142</v>
      </c>
      <c r="I182" s="15">
        <f t="shared" si="8"/>
        <v>5494</v>
      </c>
      <c r="J182" s="15">
        <v>5494</v>
      </c>
      <c r="K182" s="15">
        <v>0</v>
      </c>
      <c r="L182" s="15" t="s">
        <v>88</v>
      </c>
      <c r="M182" s="15" t="s">
        <v>474</v>
      </c>
    </row>
    <row r="183" spans="1:13" ht="63" thickBot="1" x14ac:dyDescent="0.35">
      <c r="A183" s="64" t="s">
        <v>133</v>
      </c>
      <c r="B183" s="64">
        <v>118004</v>
      </c>
      <c r="C183" s="35">
        <f t="shared" si="6"/>
        <v>2835</v>
      </c>
      <c r="D183" s="35">
        <f t="shared" si="7"/>
        <v>3679</v>
      </c>
      <c r="E183" s="15">
        <v>1</v>
      </c>
      <c r="F183" s="65" t="s">
        <v>299</v>
      </c>
      <c r="G183" s="15" t="s">
        <v>300</v>
      </c>
      <c r="H183" s="15">
        <v>2835</v>
      </c>
      <c r="I183" s="15">
        <f t="shared" si="8"/>
        <v>3679</v>
      </c>
      <c r="J183" s="15">
        <v>3679</v>
      </c>
      <c r="K183" s="15">
        <v>0</v>
      </c>
      <c r="L183" s="15" t="s">
        <v>85</v>
      </c>
      <c r="M183" s="15" t="s">
        <v>475</v>
      </c>
    </row>
    <row r="184" spans="1:13" ht="31.8" thickBot="1" x14ac:dyDescent="0.35">
      <c r="A184" s="64" t="s">
        <v>133</v>
      </c>
      <c r="B184" s="64">
        <v>106001</v>
      </c>
      <c r="C184" s="35">
        <f t="shared" si="6"/>
        <v>893</v>
      </c>
      <c r="D184" s="35">
        <f t="shared" si="7"/>
        <v>853</v>
      </c>
      <c r="E184" s="15">
        <v>1</v>
      </c>
      <c r="F184" s="65" t="s">
        <v>299</v>
      </c>
      <c r="G184" s="15" t="s">
        <v>300</v>
      </c>
      <c r="H184" s="15">
        <v>893</v>
      </c>
      <c r="I184" s="15">
        <f t="shared" si="8"/>
        <v>853</v>
      </c>
      <c r="J184" s="15">
        <v>853</v>
      </c>
      <c r="K184" s="15">
        <v>0</v>
      </c>
      <c r="L184" s="15" t="s">
        <v>90</v>
      </c>
      <c r="M184" s="15" t="s">
        <v>476</v>
      </c>
    </row>
    <row r="185" spans="1:13" ht="16.2" thickBot="1" x14ac:dyDescent="0.35">
      <c r="A185" s="64" t="s">
        <v>133</v>
      </c>
      <c r="B185" s="64">
        <v>110084</v>
      </c>
      <c r="C185" s="35">
        <f t="shared" si="6"/>
        <v>10</v>
      </c>
      <c r="D185" s="35">
        <f t="shared" si="7"/>
        <v>9</v>
      </c>
      <c r="E185" s="15">
        <v>1</v>
      </c>
      <c r="F185" s="65" t="s">
        <v>299</v>
      </c>
      <c r="G185" s="15" t="s">
        <v>300</v>
      </c>
      <c r="H185" s="15">
        <v>10</v>
      </c>
      <c r="I185" s="15">
        <f t="shared" si="8"/>
        <v>9</v>
      </c>
      <c r="J185" s="15">
        <v>9</v>
      </c>
      <c r="K185" s="15">
        <v>0</v>
      </c>
      <c r="L185" s="15" t="s">
        <v>93</v>
      </c>
      <c r="M185" s="15" t="s">
        <v>354</v>
      </c>
    </row>
    <row r="186" spans="1:13" ht="31.8" thickBot="1" x14ac:dyDescent="0.35">
      <c r="A186" s="64" t="s">
        <v>133</v>
      </c>
      <c r="B186" s="64">
        <v>118073</v>
      </c>
      <c r="C186" s="35">
        <f t="shared" si="6"/>
        <v>516</v>
      </c>
      <c r="D186" s="35">
        <f t="shared" si="7"/>
        <v>90</v>
      </c>
      <c r="E186" s="15">
        <v>1</v>
      </c>
      <c r="F186" s="65" t="s">
        <v>299</v>
      </c>
      <c r="G186" s="15" t="s">
        <v>300</v>
      </c>
      <c r="H186" s="15">
        <v>516</v>
      </c>
      <c r="I186" s="15">
        <f t="shared" si="8"/>
        <v>90</v>
      </c>
      <c r="J186" s="15">
        <v>90</v>
      </c>
      <c r="K186" s="15">
        <v>0</v>
      </c>
      <c r="L186" s="15" t="s">
        <v>85</v>
      </c>
      <c r="M186" s="15" t="s">
        <v>477</v>
      </c>
    </row>
    <row r="187" spans="1:13" ht="47.4" thickBot="1" x14ac:dyDescent="0.35">
      <c r="A187" s="64" t="s">
        <v>133</v>
      </c>
      <c r="B187" s="64">
        <v>118036</v>
      </c>
      <c r="C187" s="35">
        <f t="shared" si="6"/>
        <v>575</v>
      </c>
      <c r="D187" s="35">
        <f t="shared" si="7"/>
        <v>631.5</v>
      </c>
      <c r="E187" s="15">
        <v>2</v>
      </c>
      <c r="F187" s="65">
        <v>1</v>
      </c>
      <c r="G187" s="15" t="s">
        <v>300</v>
      </c>
      <c r="H187" s="15">
        <v>1150</v>
      </c>
      <c r="I187" s="15">
        <f t="shared" si="8"/>
        <v>1263</v>
      </c>
      <c r="J187" s="15">
        <v>1263</v>
      </c>
      <c r="K187" s="15">
        <v>0</v>
      </c>
      <c r="L187" s="15" t="s">
        <v>85</v>
      </c>
      <c r="M187" s="15" t="s">
        <v>478</v>
      </c>
    </row>
    <row r="188" spans="1:13" ht="16.2" thickBot="1" x14ac:dyDescent="0.35">
      <c r="A188" s="64" t="s">
        <v>133</v>
      </c>
      <c r="B188" s="64">
        <v>112108</v>
      </c>
      <c r="C188" s="35">
        <f t="shared" si="6"/>
        <v>3</v>
      </c>
      <c r="D188" s="35">
        <f t="shared" si="7"/>
        <v>1</v>
      </c>
      <c r="E188" s="15">
        <v>1</v>
      </c>
      <c r="F188" s="65" t="s">
        <v>299</v>
      </c>
      <c r="G188" s="15" t="s">
        <v>300</v>
      </c>
      <c r="H188" s="15">
        <v>3</v>
      </c>
      <c r="I188" s="15">
        <f t="shared" si="8"/>
        <v>1</v>
      </c>
      <c r="J188" s="15">
        <v>1</v>
      </c>
      <c r="K188" s="15">
        <v>0</v>
      </c>
      <c r="L188" s="15" t="s">
        <v>95</v>
      </c>
      <c r="M188" s="15" t="s">
        <v>479</v>
      </c>
    </row>
    <row r="189" spans="1:13" ht="47.4" thickBot="1" x14ac:dyDescent="0.35">
      <c r="A189" s="64" t="s">
        <v>133</v>
      </c>
      <c r="B189" s="64">
        <v>116077</v>
      </c>
      <c r="C189" s="35">
        <f t="shared" si="6"/>
        <v>169</v>
      </c>
      <c r="D189" s="35">
        <f t="shared" si="7"/>
        <v>188</v>
      </c>
      <c r="E189" s="15">
        <v>2</v>
      </c>
      <c r="F189" s="65" t="s">
        <v>299</v>
      </c>
      <c r="G189" s="15" t="s">
        <v>300</v>
      </c>
      <c r="H189" s="15">
        <v>338</v>
      </c>
      <c r="I189" s="15">
        <f t="shared" si="8"/>
        <v>376</v>
      </c>
      <c r="J189" s="15">
        <v>376</v>
      </c>
      <c r="K189" s="15">
        <v>0</v>
      </c>
      <c r="L189" s="15" t="s">
        <v>98</v>
      </c>
      <c r="M189" s="15" t="s">
        <v>480</v>
      </c>
    </row>
    <row r="190" spans="1:13" ht="63" thickBot="1" x14ac:dyDescent="0.35">
      <c r="A190" s="64" t="s">
        <v>133</v>
      </c>
      <c r="B190" s="64">
        <v>118037</v>
      </c>
      <c r="C190" s="35">
        <f t="shared" si="6"/>
        <v>385</v>
      </c>
      <c r="D190" s="35">
        <f t="shared" si="7"/>
        <v>432.75</v>
      </c>
      <c r="E190" s="15">
        <v>4</v>
      </c>
      <c r="F190" s="65">
        <v>1</v>
      </c>
      <c r="G190" s="15" t="s">
        <v>300</v>
      </c>
      <c r="H190" s="15">
        <v>1540</v>
      </c>
      <c r="I190" s="15">
        <f t="shared" si="8"/>
        <v>1731</v>
      </c>
      <c r="J190" s="15">
        <v>1731</v>
      </c>
      <c r="K190" s="15">
        <v>0</v>
      </c>
      <c r="L190" s="15" t="s">
        <v>85</v>
      </c>
      <c r="M190" s="15" t="s">
        <v>481</v>
      </c>
    </row>
    <row r="191" spans="1:13" ht="390.6" thickBot="1" x14ac:dyDescent="0.35">
      <c r="A191" s="64" t="s">
        <v>133</v>
      </c>
      <c r="B191" s="64">
        <v>116003</v>
      </c>
      <c r="C191" s="35">
        <f t="shared" si="6"/>
        <v>3393.4166666666665</v>
      </c>
      <c r="D191" s="35">
        <f t="shared" si="7"/>
        <v>3677.0833333333335</v>
      </c>
      <c r="E191" s="15">
        <v>12</v>
      </c>
      <c r="F191" s="65" t="s">
        <v>299</v>
      </c>
      <c r="G191" s="15" t="s">
        <v>300</v>
      </c>
      <c r="H191" s="15">
        <v>40721</v>
      </c>
      <c r="I191" s="15">
        <f t="shared" si="8"/>
        <v>44125</v>
      </c>
      <c r="J191" s="15">
        <v>44125</v>
      </c>
      <c r="K191" s="15">
        <v>0</v>
      </c>
      <c r="L191" s="15" t="s">
        <v>98</v>
      </c>
      <c r="M191" s="15" t="s">
        <v>482</v>
      </c>
    </row>
    <row r="192" spans="1:13" ht="31.8" thickBot="1" x14ac:dyDescent="0.35">
      <c r="A192" s="64" t="s">
        <v>133</v>
      </c>
      <c r="B192" s="64">
        <v>109039</v>
      </c>
      <c r="C192" s="35">
        <f t="shared" si="6"/>
        <v>28</v>
      </c>
      <c r="D192" s="35">
        <f t="shared" si="7"/>
        <v>17</v>
      </c>
      <c r="E192" s="15">
        <v>1</v>
      </c>
      <c r="F192" s="65" t="s">
        <v>299</v>
      </c>
      <c r="G192" s="15" t="s">
        <v>300</v>
      </c>
      <c r="H192" s="15">
        <v>28</v>
      </c>
      <c r="I192" s="15">
        <f t="shared" si="8"/>
        <v>17</v>
      </c>
      <c r="J192" s="15">
        <v>17</v>
      </c>
      <c r="K192" s="15">
        <v>0</v>
      </c>
      <c r="L192" s="15" t="s">
        <v>97</v>
      </c>
      <c r="M192" s="15" t="s">
        <v>483</v>
      </c>
    </row>
    <row r="193" spans="1:13" ht="141" thickBot="1" x14ac:dyDescent="0.35">
      <c r="A193" s="64" t="s">
        <v>133</v>
      </c>
      <c r="B193" s="64">
        <v>114085</v>
      </c>
      <c r="C193" s="35">
        <f t="shared" si="6"/>
        <v>4036</v>
      </c>
      <c r="D193" s="35">
        <f t="shared" si="7"/>
        <v>4373.5</v>
      </c>
      <c r="E193" s="15">
        <v>2</v>
      </c>
      <c r="F193" s="65" t="s">
        <v>299</v>
      </c>
      <c r="G193" s="15" t="s">
        <v>300</v>
      </c>
      <c r="H193" s="15">
        <v>8072</v>
      </c>
      <c r="I193" s="15">
        <f t="shared" si="8"/>
        <v>8747</v>
      </c>
      <c r="J193" s="15">
        <v>8747</v>
      </c>
      <c r="K193" s="15">
        <v>0</v>
      </c>
      <c r="L193" s="15" t="s">
        <v>96</v>
      </c>
      <c r="M193" s="15" t="s">
        <v>484</v>
      </c>
    </row>
    <row r="194" spans="1:13" ht="125.4" thickBot="1" x14ac:dyDescent="0.35">
      <c r="A194" s="64" t="s">
        <v>133</v>
      </c>
      <c r="B194" s="64">
        <v>114011</v>
      </c>
      <c r="C194" s="35">
        <f t="shared" si="6"/>
        <v>1993</v>
      </c>
      <c r="D194" s="35">
        <f t="shared" si="7"/>
        <v>2542</v>
      </c>
      <c r="E194" s="15">
        <v>3</v>
      </c>
      <c r="F194" s="65" t="s">
        <v>299</v>
      </c>
      <c r="G194" s="15" t="s">
        <v>300</v>
      </c>
      <c r="H194" s="15">
        <v>5979</v>
      </c>
      <c r="I194" s="15">
        <f t="shared" si="8"/>
        <v>7626</v>
      </c>
      <c r="J194" s="15">
        <v>7626</v>
      </c>
      <c r="K194" s="15">
        <v>0</v>
      </c>
      <c r="L194" s="15" t="s">
        <v>96</v>
      </c>
      <c r="M194" s="15" t="s">
        <v>485</v>
      </c>
    </row>
    <row r="195" spans="1:13" ht="31.8" thickBot="1" x14ac:dyDescent="0.35">
      <c r="A195" s="64" t="s">
        <v>133</v>
      </c>
      <c r="B195" s="64">
        <v>114013</v>
      </c>
      <c r="C195" s="35">
        <f t="shared" si="6"/>
        <v>1486</v>
      </c>
      <c r="D195" s="35">
        <f t="shared" si="7"/>
        <v>1774</v>
      </c>
      <c r="E195" s="15">
        <v>2</v>
      </c>
      <c r="F195" s="65" t="s">
        <v>299</v>
      </c>
      <c r="G195" s="15" t="s">
        <v>300</v>
      </c>
      <c r="H195" s="15">
        <v>2972</v>
      </c>
      <c r="I195" s="15">
        <f t="shared" si="8"/>
        <v>3548</v>
      </c>
      <c r="J195" s="15">
        <v>3548</v>
      </c>
      <c r="K195" s="15">
        <v>0</v>
      </c>
      <c r="L195" s="15" t="s">
        <v>96</v>
      </c>
      <c r="M195" s="15" t="s">
        <v>486</v>
      </c>
    </row>
    <row r="196" spans="1:13" ht="16.2" thickBot="1" x14ac:dyDescent="0.35">
      <c r="A196" s="64" t="s">
        <v>133</v>
      </c>
      <c r="B196" s="64">
        <v>117011</v>
      </c>
      <c r="C196" s="35">
        <f t="shared" si="6"/>
        <v>1187</v>
      </c>
      <c r="D196" s="35">
        <f t="shared" si="7"/>
        <v>1371</v>
      </c>
      <c r="E196" s="15">
        <v>1</v>
      </c>
      <c r="F196" s="65" t="s">
        <v>299</v>
      </c>
      <c r="G196" s="15" t="s">
        <v>300</v>
      </c>
      <c r="H196" s="15">
        <v>1187</v>
      </c>
      <c r="I196" s="15">
        <f t="shared" si="8"/>
        <v>1371</v>
      </c>
      <c r="J196" s="15">
        <v>1371</v>
      </c>
      <c r="K196" s="15">
        <v>0</v>
      </c>
      <c r="L196" s="15" t="s">
        <v>99</v>
      </c>
      <c r="M196" s="15" t="s">
        <v>487</v>
      </c>
    </row>
    <row r="197" spans="1:13" ht="47.4" thickBot="1" x14ac:dyDescent="0.35">
      <c r="A197" s="64" t="s">
        <v>133</v>
      </c>
      <c r="B197" s="64">
        <v>117012</v>
      </c>
      <c r="C197" s="35">
        <f t="shared" si="6"/>
        <v>2441</v>
      </c>
      <c r="D197" s="35">
        <f t="shared" si="7"/>
        <v>2832</v>
      </c>
      <c r="E197" s="15">
        <v>1</v>
      </c>
      <c r="F197" s="65" t="s">
        <v>299</v>
      </c>
      <c r="G197" s="15" t="s">
        <v>300</v>
      </c>
      <c r="H197" s="15">
        <v>2441</v>
      </c>
      <c r="I197" s="15">
        <f t="shared" si="8"/>
        <v>2832</v>
      </c>
      <c r="J197" s="15">
        <v>2832</v>
      </c>
      <c r="K197" s="15">
        <v>0</v>
      </c>
      <c r="L197" s="15" t="s">
        <v>99</v>
      </c>
      <c r="M197" s="15" t="s">
        <v>488</v>
      </c>
    </row>
    <row r="198" spans="1:13" ht="390.6" thickBot="1" x14ac:dyDescent="0.35">
      <c r="A198" s="64" t="s">
        <v>133</v>
      </c>
      <c r="B198" s="64">
        <v>116005</v>
      </c>
      <c r="C198" s="35">
        <f t="shared" si="6"/>
        <v>2312.1</v>
      </c>
      <c r="D198" s="35">
        <f t="shared" si="7"/>
        <v>2947.1</v>
      </c>
      <c r="E198" s="15">
        <v>10</v>
      </c>
      <c r="F198" s="65" t="s">
        <v>299</v>
      </c>
      <c r="G198" s="15" t="s">
        <v>300</v>
      </c>
      <c r="H198" s="15">
        <v>23121</v>
      </c>
      <c r="I198" s="15">
        <f t="shared" si="8"/>
        <v>29471</v>
      </c>
      <c r="J198" s="15">
        <v>29471</v>
      </c>
      <c r="K198" s="15">
        <v>0</v>
      </c>
      <c r="L198" s="15" t="s">
        <v>98</v>
      </c>
      <c r="M198" s="15" t="s">
        <v>489</v>
      </c>
    </row>
    <row r="199" spans="1:13" ht="63" thickBot="1" x14ac:dyDescent="0.35">
      <c r="A199" s="64" t="s">
        <v>133</v>
      </c>
      <c r="B199" s="64">
        <v>116004</v>
      </c>
      <c r="C199" s="35">
        <f t="shared" si="6"/>
        <v>97.5</v>
      </c>
      <c r="D199" s="35">
        <f t="shared" si="7"/>
        <v>157.5</v>
      </c>
      <c r="E199" s="15">
        <v>2</v>
      </c>
      <c r="F199" s="65" t="s">
        <v>299</v>
      </c>
      <c r="G199" s="15" t="s">
        <v>309</v>
      </c>
      <c r="H199" s="15">
        <v>195</v>
      </c>
      <c r="I199" s="15">
        <f t="shared" si="8"/>
        <v>315</v>
      </c>
      <c r="J199" s="15">
        <v>315</v>
      </c>
      <c r="K199" s="15">
        <v>0</v>
      </c>
      <c r="L199" s="15" t="s">
        <v>98</v>
      </c>
      <c r="M199" s="15" t="s">
        <v>490</v>
      </c>
    </row>
    <row r="200" spans="1:13" ht="31.8" thickBot="1" x14ac:dyDescent="0.35">
      <c r="A200" s="64" t="s">
        <v>133</v>
      </c>
      <c r="B200" s="64">
        <v>116052</v>
      </c>
      <c r="C200" s="35">
        <f t="shared" ref="C200:C263" si="9">H200/E200</f>
        <v>39</v>
      </c>
      <c r="D200" s="35">
        <f t="shared" ref="D200:D263" si="10">I200/E200</f>
        <v>36</v>
      </c>
      <c r="E200" s="15">
        <v>1</v>
      </c>
      <c r="F200" s="65" t="s">
        <v>299</v>
      </c>
      <c r="G200" s="15" t="s">
        <v>300</v>
      </c>
      <c r="H200" s="15">
        <v>39</v>
      </c>
      <c r="I200" s="15">
        <f t="shared" si="8"/>
        <v>36</v>
      </c>
      <c r="J200" s="15">
        <v>36</v>
      </c>
      <c r="K200" s="15">
        <v>0</v>
      </c>
      <c r="L200" s="15" t="s">
        <v>98</v>
      </c>
      <c r="M200" s="15" t="s">
        <v>491</v>
      </c>
    </row>
    <row r="201" spans="1:13" ht="31.8" thickBot="1" x14ac:dyDescent="0.35">
      <c r="A201" s="64" t="s">
        <v>133</v>
      </c>
      <c r="B201" s="64">
        <v>116069</v>
      </c>
      <c r="C201" s="35">
        <f t="shared" si="9"/>
        <v>115</v>
      </c>
      <c r="D201" s="35">
        <f t="shared" si="10"/>
        <v>206</v>
      </c>
      <c r="E201" s="15">
        <v>1</v>
      </c>
      <c r="F201" s="65" t="s">
        <v>299</v>
      </c>
      <c r="G201" s="15" t="s">
        <v>300</v>
      </c>
      <c r="H201" s="15">
        <v>115</v>
      </c>
      <c r="I201" s="15">
        <f t="shared" ref="I201:I264" si="11">SUM(J201:K201)</f>
        <v>206</v>
      </c>
      <c r="J201" s="15">
        <v>206</v>
      </c>
      <c r="K201" s="15">
        <v>0</v>
      </c>
      <c r="L201" s="15" t="s">
        <v>98</v>
      </c>
      <c r="M201" s="15" t="s">
        <v>492</v>
      </c>
    </row>
    <row r="202" spans="1:13" ht="16.2" thickBot="1" x14ac:dyDescent="0.35">
      <c r="A202" s="64" t="s">
        <v>133</v>
      </c>
      <c r="B202" s="64">
        <v>116056</v>
      </c>
      <c r="C202" s="35">
        <f t="shared" si="9"/>
        <v>455</v>
      </c>
      <c r="D202" s="35">
        <f t="shared" si="10"/>
        <v>498</v>
      </c>
      <c r="E202" s="15">
        <v>1</v>
      </c>
      <c r="F202" s="65" t="s">
        <v>299</v>
      </c>
      <c r="G202" s="15" t="s">
        <v>300</v>
      </c>
      <c r="H202" s="15">
        <v>455</v>
      </c>
      <c r="I202" s="15">
        <f t="shared" si="11"/>
        <v>498</v>
      </c>
      <c r="J202" s="15">
        <v>498</v>
      </c>
      <c r="K202" s="15">
        <v>0</v>
      </c>
      <c r="L202" s="15" t="s">
        <v>98</v>
      </c>
      <c r="M202" s="15" t="s">
        <v>493</v>
      </c>
    </row>
    <row r="203" spans="1:13" ht="31.8" thickBot="1" x14ac:dyDescent="0.35">
      <c r="A203" s="64" t="s">
        <v>133</v>
      </c>
      <c r="B203" s="64">
        <v>116043</v>
      </c>
      <c r="C203" s="35">
        <f t="shared" si="9"/>
        <v>4</v>
      </c>
      <c r="D203" s="35">
        <f t="shared" si="10"/>
        <v>3</v>
      </c>
      <c r="E203" s="15">
        <v>1</v>
      </c>
      <c r="F203" s="65" t="s">
        <v>299</v>
      </c>
      <c r="G203" s="15" t="s">
        <v>300</v>
      </c>
      <c r="H203" s="15">
        <v>4</v>
      </c>
      <c r="I203" s="15">
        <f t="shared" si="11"/>
        <v>3</v>
      </c>
      <c r="J203" s="15">
        <v>3</v>
      </c>
      <c r="K203" s="15">
        <v>0</v>
      </c>
      <c r="L203" s="15" t="s">
        <v>98</v>
      </c>
      <c r="M203" s="15" t="s">
        <v>494</v>
      </c>
    </row>
    <row r="204" spans="1:13" ht="16.2" thickBot="1" x14ac:dyDescent="0.35">
      <c r="A204" s="64" t="s">
        <v>133</v>
      </c>
      <c r="B204" s="64">
        <v>111036</v>
      </c>
      <c r="C204" s="35">
        <f t="shared" si="9"/>
        <v>2</v>
      </c>
      <c r="D204" s="35">
        <f t="shared" si="10"/>
        <v>4</v>
      </c>
      <c r="E204" s="15">
        <v>1</v>
      </c>
      <c r="F204" s="65" t="s">
        <v>299</v>
      </c>
      <c r="G204" s="15" t="s">
        <v>300</v>
      </c>
      <c r="H204" s="15">
        <v>2</v>
      </c>
      <c r="I204" s="15">
        <f t="shared" si="11"/>
        <v>4</v>
      </c>
      <c r="J204" s="15">
        <v>4</v>
      </c>
      <c r="K204" s="15">
        <v>0</v>
      </c>
      <c r="L204" s="15" t="s">
        <v>94</v>
      </c>
      <c r="M204" s="15" t="s">
        <v>495</v>
      </c>
    </row>
    <row r="205" spans="1:13" ht="141" thickBot="1" x14ac:dyDescent="0.35">
      <c r="A205" s="64" t="s">
        <v>133</v>
      </c>
      <c r="B205" s="64">
        <v>117014</v>
      </c>
      <c r="C205" s="35">
        <f t="shared" si="9"/>
        <v>4575.666666666667</v>
      </c>
      <c r="D205" s="35">
        <f t="shared" si="10"/>
        <v>4889.666666666667</v>
      </c>
      <c r="E205" s="15">
        <v>3</v>
      </c>
      <c r="F205" s="65" t="s">
        <v>299</v>
      </c>
      <c r="G205" s="15" t="s">
        <v>300</v>
      </c>
      <c r="H205" s="15">
        <v>13727</v>
      </c>
      <c r="I205" s="15">
        <f t="shared" si="11"/>
        <v>14669</v>
      </c>
      <c r="J205" s="15">
        <v>14669</v>
      </c>
      <c r="K205" s="15">
        <v>0</v>
      </c>
      <c r="L205" s="15" t="s">
        <v>99</v>
      </c>
      <c r="M205" s="15" t="s">
        <v>496</v>
      </c>
    </row>
    <row r="206" spans="1:13" ht="16.2" thickBot="1" x14ac:dyDescent="0.35">
      <c r="A206" s="64" t="s">
        <v>133</v>
      </c>
      <c r="B206" s="64">
        <v>112063</v>
      </c>
      <c r="C206" s="35">
        <f t="shared" si="9"/>
        <v>385</v>
      </c>
      <c r="D206" s="35">
        <f t="shared" si="10"/>
        <v>382</v>
      </c>
      <c r="E206" s="15">
        <v>1</v>
      </c>
      <c r="F206" s="65" t="s">
        <v>299</v>
      </c>
      <c r="G206" s="15" t="s">
        <v>300</v>
      </c>
      <c r="H206" s="15">
        <v>385</v>
      </c>
      <c r="I206" s="15">
        <f t="shared" si="11"/>
        <v>382</v>
      </c>
      <c r="J206" s="15">
        <v>382</v>
      </c>
      <c r="K206" s="15">
        <v>0</v>
      </c>
      <c r="L206" s="15" t="s">
        <v>95</v>
      </c>
      <c r="M206" s="15" t="s">
        <v>497</v>
      </c>
    </row>
    <row r="207" spans="1:13" ht="281.39999999999998" thickBot="1" x14ac:dyDescent="0.35">
      <c r="A207" s="64" t="s">
        <v>133</v>
      </c>
      <c r="B207" s="64">
        <v>117015</v>
      </c>
      <c r="C207" s="35">
        <f t="shared" si="9"/>
        <v>2317.5714285714284</v>
      </c>
      <c r="D207" s="35">
        <f t="shared" si="10"/>
        <v>2819.1428571428573</v>
      </c>
      <c r="E207" s="15">
        <v>7</v>
      </c>
      <c r="F207" s="65" t="s">
        <v>299</v>
      </c>
      <c r="G207" s="15" t="s">
        <v>300</v>
      </c>
      <c r="H207" s="15">
        <v>16223</v>
      </c>
      <c r="I207" s="15">
        <f t="shared" si="11"/>
        <v>19734</v>
      </c>
      <c r="J207" s="15">
        <v>19734</v>
      </c>
      <c r="K207" s="15">
        <v>0</v>
      </c>
      <c r="L207" s="15" t="s">
        <v>99</v>
      </c>
      <c r="M207" s="15" t="s">
        <v>498</v>
      </c>
    </row>
    <row r="208" spans="1:13" ht="47.4" thickBot="1" x14ac:dyDescent="0.35">
      <c r="A208" s="64" t="s">
        <v>133</v>
      </c>
      <c r="B208" s="64">
        <v>117046</v>
      </c>
      <c r="C208" s="35">
        <f t="shared" si="9"/>
        <v>5089</v>
      </c>
      <c r="D208" s="35">
        <f t="shared" si="10"/>
        <v>3155</v>
      </c>
      <c r="E208" s="15">
        <v>1</v>
      </c>
      <c r="F208" s="65" t="s">
        <v>299</v>
      </c>
      <c r="G208" s="15" t="s">
        <v>300</v>
      </c>
      <c r="H208" s="15">
        <v>5089</v>
      </c>
      <c r="I208" s="15">
        <f t="shared" si="11"/>
        <v>3155</v>
      </c>
      <c r="J208" s="15">
        <v>3155</v>
      </c>
      <c r="K208" s="15">
        <v>0</v>
      </c>
      <c r="L208" s="15" t="s">
        <v>99</v>
      </c>
      <c r="M208" s="15" t="s">
        <v>499</v>
      </c>
    </row>
    <row r="209" spans="1:13" ht="16.2" thickBot="1" x14ac:dyDescent="0.35">
      <c r="A209" s="64" t="s">
        <v>133</v>
      </c>
      <c r="B209" s="64">
        <v>117016</v>
      </c>
      <c r="C209" s="35">
        <f t="shared" si="9"/>
        <v>45</v>
      </c>
      <c r="D209" s="35">
        <f t="shared" si="10"/>
        <v>71</v>
      </c>
      <c r="E209" s="15">
        <v>2</v>
      </c>
      <c r="F209" s="65" t="s">
        <v>299</v>
      </c>
      <c r="G209" s="15" t="s">
        <v>309</v>
      </c>
      <c r="H209" s="15">
        <v>90</v>
      </c>
      <c r="I209" s="15">
        <f t="shared" si="11"/>
        <v>142</v>
      </c>
      <c r="J209" s="15">
        <v>142</v>
      </c>
      <c r="K209" s="15">
        <v>0</v>
      </c>
      <c r="L209" s="15" t="s">
        <v>99</v>
      </c>
      <c r="M209" s="15" t="s">
        <v>500</v>
      </c>
    </row>
    <row r="210" spans="1:13" ht="63" thickBot="1" x14ac:dyDescent="0.35">
      <c r="A210" s="64" t="s">
        <v>133</v>
      </c>
      <c r="B210" s="64">
        <v>117017</v>
      </c>
      <c r="C210" s="35">
        <f t="shared" si="9"/>
        <v>1566</v>
      </c>
      <c r="D210" s="35">
        <f t="shared" si="10"/>
        <v>1761</v>
      </c>
      <c r="E210" s="15">
        <v>1</v>
      </c>
      <c r="F210" s="65" t="s">
        <v>299</v>
      </c>
      <c r="G210" s="15" t="s">
        <v>300</v>
      </c>
      <c r="H210" s="15">
        <v>1566</v>
      </c>
      <c r="I210" s="15">
        <f t="shared" si="11"/>
        <v>1761</v>
      </c>
      <c r="J210" s="15">
        <v>1761</v>
      </c>
      <c r="K210" s="15">
        <v>0</v>
      </c>
      <c r="L210" s="15" t="s">
        <v>99</v>
      </c>
      <c r="M210" s="15" t="s">
        <v>501</v>
      </c>
    </row>
    <row r="211" spans="1:13" ht="31.8" thickBot="1" x14ac:dyDescent="0.35">
      <c r="A211" s="64" t="s">
        <v>133</v>
      </c>
      <c r="B211" s="64">
        <v>116060</v>
      </c>
      <c r="C211" s="35">
        <f t="shared" si="9"/>
        <v>71</v>
      </c>
      <c r="D211" s="35">
        <f t="shared" si="10"/>
        <v>75</v>
      </c>
      <c r="E211" s="15">
        <v>1</v>
      </c>
      <c r="F211" s="65" t="s">
        <v>299</v>
      </c>
      <c r="G211" s="15" t="s">
        <v>300</v>
      </c>
      <c r="H211" s="15">
        <v>71</v>
      </c>
      <c r="I211" s="15">
        <f t="shared" si="11"/>
        <v>75</v>
      </c>
      <c r="J211" s="15">
        <v>75</v>
      </c>
      <c r="K211" s="15">
        <v>0</v>
      </c>
      <c r="L211" s="15" t="s">
        <v>98</v>
      </c>
      <c r="M211" s="15" t="s">
        <v>502</v>
      </c>
    </row>
    <row r="212" spans="1:13" ht="16.2" thickBot="1" x14ac:dyDescent="0.35">
      <c r="A212" s="64" t="s">
        <v>133</v>
      </c>
      <c r="B212" s="64">
        <v>116032</v>
      </c>
      <c r="C212" s="35">
        <f t="shared" si="9"/>
        <v>3</v>
      </c>
      <c r="D212" s="35">
        <f t="shared" si="10"/>
        <v>2</v>
      </c>
      <c r="E212" s="15">
        <v>1</v>
      </c>
      <c r="F212" s="65" t="s">
        <v>299</v>
      </c>
      <c r="G212" s="15" t="s">
        <v>300</v>
      </c>
      <c r="H212" s="15">
        <v>3</v>
      </c>
      <c r="I212" s="15">
        <f t="shared" si="11"/>
        <v>2</v>
      </c>
      <c r="J212" s="15">
        <v>2</v>
      </c>
      <c r="K212" s="15">
        <v>0</v>
      </c>
      <c r="L212" s="15" t="s">
        <v>98</v>
      </c>
      <c r="M212" s="15" t="s">
        <v>503</v>
      </c>
    </row>
    <row r="213" spans="1:13" ht="16.2" thickBot="1" x14ac:dyDescent="0.35">
      <c r="A213" s="64" t="s">
        <v>133</v>
      </c>
      <c r="B213" s="64">
        <v>106016</v>
      </c>
      <c r="C213" s="35">
        <f t="shared" si="9"/>
        <v>464</v>
      </c>
      <c r="D213" s="35">
        <f t="shared" si="10"/>
        <v>437</v>
      </c>
      <c r="E213" s="15">
        <v>1</v>
      </c>
      <c r="F213" s="65" t="s">
        <v>299</v>
      </c>
      <c r="G213" s="15" t="s">
        <v>300</v>
      </c>
      <c r="H213" s="15">
        <v>464</v>
      </c>
      <c r="I213" s="15">
        <f t="shared" si="11"/>
        <v>437</v>
      </c>
      <c r="J213" s="15">
        <v>437</v>
      </c>
      <c r="K213" s="15">
        <v>0</v>
      </c>
      <c r="L213" s="15" t="s">
        <v>90</v>
      </c>
      <c r="M213" s="15" t="s">
        <v>504</v>
      </c>
    </row>
    <row r="214" spans="1:13" ht="409.6" thickBot="1" x14ac:dyDescent="0.35">
      <c r="A214" s="64" t="s">
        <v>133</v>
      </c>
      <c r="B214" s="64">
        <v>108008</v>
      </c>
      <c r="C214" s="35">
        <f t="shared" si="9"/>
        <v>3516.1333333333332</v>
      </c>
      <c r="D214" s="35">
        <f t="shared" si="10"/>
        <v>4711.2</v>
      </c>
      <c r="E214" s="15">
        <v>15</v>
      </c>
      <c r="F214" s="65">
        <v>2</v>
      </c>
      <c r="G214" s="15" t="s">
        <v>300</v>
      </c>
      <c r="H214" s="15">
        <v>52742</v>
      </c>
      <c r="I214" s="15">
        <f t="shared" si="11"/>
        <v>70668</v>
      </c>
      <c r="J214" s="15">
        <v>70668</v>
      </c>
      <c r="K214" s="15">
        <v>0</v>
      </c>
      <c r="L214" s="15" t="s">
        <v>505</v>
      </c>
      <c r="M214" s="15" t="s">
        <v>506</v>
      </c>
    </row>
    <row r="215" spans="1:13" ht="47.4" thickBot="1" x14ac:dyDescent="0.35">
      <c r="A215" s="64" t="s">
        <v>133</v>
      </c>
      <c r="B215" s="64">
        <v>108009</v>
      </c>
      <c r="C215" s="35">
        <f t="shared" si="9"/>
        <v>830.66666666666663</v>
      </c>
      <c r="D215" s="35">
        <f t="shared" si="10"/>
        <v>1212.3333333333333</v>
      </c>
      <c r="E215" s="15">
        <v>3</v>
      </c>
      <c r="F215" s="65">
        <v>1</v>
      </c>
      <c r="G215" s="15" t="s">
        <v>300</v>
      </c>
      <c r="H215" s="15">
        <v>2492</v>
      </c>
      <c r="I215" s="15">
        <f t="shared" si="11"/>
        <v>3637</v>
      </c>
      <c r="J215" s="15">
        <v>3637</v>
      </c>
      <c r="K215" s="15">
        <v>0</v>
      </c>
      <c r="L215" s="15" t="s">
        <v>97</v>
      </c>
      <c r="M215" s="15" t="s">
        <v>507</v>
      </c>
    </row>
    <row r="216" spans="1:13" ht="31.8" thickBot="1" x14ac:dyDescent="0.35">
      <c r="A216" s="64" t="s">
        <v>133</v>
      </c>
      <c r="B216" s="64">
        <v>108031</v>
      </c>
      <c r="C216" s="35">
        <f t="shared" si="9"/>
        <v>111</v>
      </c>
      <c r="D216" s="35">
        <f t="shared" si="10"/>
        <v>372</v>
      </c>
      <c r="E216" s="15">
        <v>1</v>
      </c>
      <c r="F216" s="65" t="s">
        <v>299</v>
      </c>
      <c r="G216" s="15" t="s">
        <v>300</v>
      </c>
      <c r="H216" s="15">
        <v>111</v>
      </c>
      <c r="I216" s="15">
        <f t="shared" si="11"/>
        <v>372</v>
      </c>
      <c r="J216" s="15">
        <v>372</v>
      </c>
      <c r="K216" s="15">
        <v>0</v>
      </c>
      <c r="L216" s="15" t="s">
        <v>97</v>
      </c>
      <c r="M216" s="15" t="s">
        <v>508</v>
      </c>
    </row>
    <row r="217" spans="1:13" ht="109.8" thickBot="1" x14ac:dyDescent="0.35">
      <c r="A217" s="64" t="s">
        <v>133</v>
      </c>
      <c r="B217" s="64">
        <v>118014</v>
      </c>
      <c r="C217" s="35">
        <f t="shared" si="9"/>
        <v>5724</v>
      </c>
      <c r="D217" s="35">
        <f t="shared" si="10"/>
        <v>7710</v>
      </c>
      <c r="E217" s="15">
        <v>1</v>
      </c>
      <c r="F217" s="65" t="s">
        <v>299</v>
      </c>
      <c r="G217" s="15" t="s">
        <v>300</v>
      </c>
      <c r="H217" s="15">
        <v>5724</v>
      </c>
      <c r="I217" s="15">
        <f t="shared" si="11"/>
        <v>7710</v>
      </c>
      <c r="J217" s="15">
        <v>7710</v>
      </c>
      <c r="K217" s="15">
        <v>0</v>
      </c>
      <c r="L217" s="15" t="s">
        <v>85</v>
      </c>
      <c r="M217" s="15" t="s">
        <v>509</v>
      </c>
    </row>
    <row r="218" spans="1:13" ht="47.4" thickBot="1" x14ac:dyDescent="0.35">
      <c r="A218" s="64" t="s">
        <v>133</v>
      </c>
      <c r="B218" s="64">
        <v>112018</v>
      </c>
      <c r="C218" s="35">
        <f t="shared" si="9"/>
        <v>4190</v>
      </c>
      <c r="D218" s="35">
        <f t="shared" si="10"/>
        <v>3812</v>
      </c>
      <c r="E218" s="15">
        <v>1</v>
      </c>
      <c r="F218" s="65" t="s">
        <v>299</v>
      </c>
      <c r="G218" s="15" t="s">
        <v>300</v>
      </c>
      <c r="H218" s="15">
        <v>4190</v>
      </c>
      <c r="I218" s="15">
        <f t="shared" si="11"/>
        <v>3812</v>
      </c>
      <c r="J218" s="15">
        <v>3812</v>
      </c>
      <c r="K218" s="15">
        <v>0</v>
      </c>
      <c r="L218" s="15" t="s">
        <v>92</v>
      </c>
      <c r="M218" s="15" t="s">
        <v>510</v>
      </c>
    </row>
    <row r="219" spans="1:13" ht="156.6" thickBot="1" x14ac:dyDescent="0.35">
      <c r="A219" s="64" t="s">
        <v>133</v>
      </c>
      <c r="B219" s="64">
        <v>103006</v>
      </c>
      <c r="C219" s="35">
        <f t="shared" si="9"/>
        <v>3256.5</v>
      </c>
      <c r="D219" s="35">
        <f t="shared" si="10"/>
        <v>4063</v>
      </c>
      <c r="E219" s="15">
        <v>2</v>
      </c>
      <c r="F219" s="65" t="s">
        <v>299</v>
      </c>
      <c r="G219" s="15" t="s">
        <v>300</v>
      </c>
      <c r="H219" s="15">
        <v>6513</v>
      </c>
      <c r="I219" s="15">
        <f t="shared" si="11"/>
        <v>8126</v>
      </c>
      <c r="J219" s="15">
        <v>8126</v>
      </c>
      <c r="K219" s="15">
        <v>0</v>
      </c>
      <c r="L219" s="15" t="s">
        <v>87</v>
      </c>
      <c r="M219" s="15" t="s">
        <v>511</v>
      </c>
    </row>
    <row r="220" spans="1:13" ht="63" thickBot="1" x14ac:dyDescent="0.35">
      <c r="A220" s="64" t="s">
        <v>133</v>
      </c>
      <c r="B220" s="64">
        <v>114014</v>
      </c>
      <c r="C220" s="35">
        <f t="shared" si="9"/>
        <v>1222</v>
      </c>
      <c r="D220" s="35">
        <f t="shared" si="10"/>
        <v>1752</v>
      </c>
      <c r="E220" s="15">
        <v>3</v>
      </c>
      <c r="F220" s="65" t="s">
        <v>299</v>
      </c>
      <c r="G220" s="15" t="s">
        <v>300</v>
      </c>
      <c r="H220" s="15">
        <v>3666</v>
      </c>
      <c r="I220" s="15">
        <f t="shared" si="11"/>
        <v>5256</v>
      </c>
      <c r="J220" s="15">
        <v>5256</v>
      </c>
      <c r="K220" s="15">
        <v>0</v>
      </c>
      <c r="L220" s="15" t="s">
        <v>96</v>
      </c>
      <c r="M220" s="15" t="s">
        <v>512</v>
      </c>
    </row>
    <row r="221" spans="1:13" ht="16.2" thickBot="1" x14ac:dyDescent="0.35">
      <c r="A221" s="64" t="s">
        <v>133</v>
      </c>
      <c r="B221" s="64">
        <v>112021</v>
      </c>
      <c r="C221" s="35">
        <f t="shared" si="9"/>
        <v>197</v>
      </c>
      <c r="D221" s="35">
        <f t="shared" si="10"/>
        <v>181</v>
      </c>
      <c r="E221" s="15">
        <v>1</v>
      </c>
      <c r="F221" s="65" t="s">
        <v>299</v>
      </c>
      <c r="G221" s="15" t="s">
        <v>300</v>
      </c>
      <c r="H221" s="15">
        <v>197</v>
      </c>
      <c r="I221" s="15">
        <f t="shared" si="11"/>
        <v>181</v>
      </c>
      <c r="J221" s="15">
        <v>181</v>
      </c>
      <c r="K221" s="15">
        <v>0</v>
      </c>
      <c r="L221" s="15" t="s">
        <v>95</v>
      </c>
      <c r="M221" s="15" t="s">
        <v>513</v>
      </c>
    </row>
    <row r="222" spans="1:13" ht="16.2" thickBot="1" x14ac:dyDescent="0.35">
      <c r="A222" s="64" t="s">
        <v>133</v>
      </c>
      <c r="B222" s="64">
        <v>118068</v>
      </c>
      <c r="C222" s="35">
        <f t="shared" si="9"/>
        <v>61</v>
      </c>
      <c r="D222" s="35">
        <f t="shared" si="10"/>
        <v>69</v>
      </c>
      <c r="E222" s="15">
        <v>1</v>
      </c>
      <c r="F222" s="65" t="s">
        <v>299</v>
      </c>
      <c r="G222" s="15" t="s">
        <v>300</v>
      </c>
      <c r="H222" s="15">
        <v>61</v>
      </c>
      <c r="I222" s="15">
        <f t="shared" si="11"/>
        <v>69</v>
      </c>
      <c r="J222" s="15">
        <v>69</v>
      </c>
      <c r="K222" s="15">
        <v>0</v>
      </c>
      <c r="L222" s="15" t="s">
        <v>85</v>
      </c>
      <c r="M222" s="15" t="s">
        <v>514</v>
      </c>
    </row>
    <row r="223" spans="1:13" ht="125.4" thickBot="1" x14ac:dyDescent="0.35">
      <c r="A223" s="64" t="s">
        <v>133</v>
      </c>
      <c r="B223" s="64">
        <v>109018</v>
      </c>
      <c r="C223" s="35">
        <f t="shared" si="9"/>
        <v>7089</v>
      </c>
      <c r="D223" s="35">
        <f t="shared" si="10"/>
        <v>8864</v>
      </c>
      <c r="E223" s="15">
        <v>1</v>
      </c>
      <c r="F223" s="65" t="s">
        <v>299</v>
      </c>
      <c r="G223" s="15" t="s">
        <v>300</v>
      </c>
      <c r="H223" s="15">
        <v>7089</v>
      </c>
      <c r="I223" s="15">
        <f t="shared" si="11"/>
        <v>8864</v>
      </c>
      <c r="J223" s="15">
        <v>8864</v>
      </c>
      <c r="K223" s="15">
        <v>0</v>
      </c>
      <c r="L223" s="15" t="s">
        <v>89</v>
      </c>
      <c r="M223" s="15" t="s">
        <v>515</v>
      </c>
    </row>
    <row r="224" spans="1:13" ht="47.4" thickBot="1" x14ac:dyDescent="0.35">
      <c r="A224" s="64" t="s">
        <v>133</v>
      </c>
      <c r="B224" s="64">
        <v>117018</v>
      </c>
      <c r="C224" s="35">
        <f t="shared" si="9"/>
        <v>2222</v>
      </c>
      <c r="D224" s="35">
        <f t="shared" si="10"/>
        <v>2968</v>
      </c>
      <c r="E224" s="15">
        <v>1</v>
      </c>
      <c r="F224" s="65" t="s">
        <v>299</v>
      </c>
      <c r="G224" s="15" t="s">
        <v>300</v>
      </c>
      <c r="H224" s="15">
        <v>2222</v>
      </c>
      <c r="I224" s="15">
        <f t="shared" si="11"/>
        <v>2968</v>
      </c>
      <c r="J224" s="15">
        <v>2968</v>
      </c>
      <c r="K224" s="15">
        <v>0</v>
      </c>
      <c r="L224" s="15" t="s">
        <v>99</v>
      </c>
      <c r="M224" s="15" t="s">
        <v>516</v>
      </c>
    </row>
    <row r="225" spans="1:13" ht="406.2" thickBot="1" x14ac:dyDescent="0.35">
      <c r="A225" s="64" t="s">
        <v>133</v>
      </c>
      <c r="B225" s="64">
        <v>117019</v>
      </c>
      <c r="C225" s="35">
        <f t="shared" si="9"/>
        <v>3485.5</v>
      </c>
      <c r="D225" s="35">
        <f t="shared" si="10"/>
        <v>4477.625</v>
      </c>
      <c r="E225" s="15">
        <v>8</v>
      </c>
      <c r="F225" s="65">
        <v>1</v>
      </c>
      <c r="G225" s="15" t="s">
        <v>300</v>
      </c>
      <c r="H225" s="15">
        <v>27884</v>
      </c>
      <c r="I225" s="15">
        <f t="shared" si="11"/>
        <v>35821</v>
      </c>
      <c r="J225" s="15">
        <v>35821</v>
      </c>
      <c r="K225" s="15">
        <v>0</v>
      </c>
      <c r="L225" s="15" t="s">
        <v>99</v>
      </c>
      <c r="M225" s="15" t="s">
        <v>517</v>
      </c>
    </row>
    <row r="226" spans="1:13" ht="63" thickBot="1" x14ac:dyDescent="0.35">
      <c r="A226" s="64" t="s">
        <v>133</v>
      </c>
      <c r="B226" s="64">
        <v>117021</v>
      </c>
      <c r="C226" s="35">
        <f t="shared" si="9"/>
        <v>1770</v>
      </c>
      <c r="D226" s="35">
        <f t="shared" si="10"/>
        <v>1937</v>
      </c>
      <c r="E226" s="15">
        <v>1</v>
      </c>
      <c r="F226" s="65" t="s">
        <v>299</v>
      </c>
      <c r="G226" s="15" t="s">
        <v>300</v>
      </c>
      <c r="H226" s="15">
        <v>1770</v>
      </c>
      <c r="I226" s="15">
        <f t="shared" si="11"/>
        <v>1937</v>
      </c>
      <c r="J226" s="15">
        <v>1937</v>
      </c>
      <c r="K226" s="15">
        <v>0</v>
      </c>
      <c r="L226" s="15" t="s">
        <v>99</v>
      </c>
      <c r="M226" s="15" t="s">
        <v>518</v>
      </c>
    </row>
    <row r="227" spans="1:13" ht="31.8" thickBot="1" x14ac:dyDescent="0.35">
      <c r="A227" s="64" t="s">
        <v>133</v>
      </c>
      <c r="B227" s="64">
        <v>117020</v>
      </c>
      <c r="C227" s="35">
        <f t="shared" si="9"/>
        <v>89.666666666666671</v>
      </c>
      <c r="D227" s="35">
        <f t="shared" si="10"/>
        <v>176.33333333333334</v>
      </c>
      <c r="E227" s="15">
        <v>3</v>
      </c>
      <c r="F227" s="65" t="s">
        <v>299</v>
      </c>
      <c r="G227" s="15" t="s">
        <v>309</v>
      </c>
      <c r="H227" s="15">
        <v>269</v>
      </c>
      <c r="I227" s="15">
        <f t="shared" si="11"/>
        <v>529</v>
      </c>
      <c r="J227" s="15">
        <v>529</v>
      </c>
      <c r="K227" s="15">
        <v>0</v>
      </c>
      <c r="L227" s="15" t="s">
        <v>99</v>
      </c>
      <c r="M227" s="15" t="s">
        <v>519</v>
      </c>
    </row>
    <row r="228" spans="1:13" ht="16.2" thickBot="1" x14ac:dyDescent="0.35">
      <c r="A228" s="64" t="s">
        <v>133</v>
      </c>
      <c r="B228" s="64">
        <v>118053</v>
      </c>
      <c r="C228" s="35">
        <f t="shared" si="9"/>
        <v>618</v>
      </c>
      <c r="D228" s="35">
        <f t="shared" si="10"/>
        <v>660</v>
      </c>
      <c r="E228" s="15">
        <v>1</v>
      </c>
      <c r="F228" s="65">
        <v>1</v>
      </c>
      <c r="G228" s="15" t="s">
        <v>300</v>
      </c>
      <c r="H228" s="15">
        <v>618</v>
      </c>
      <c r="I228" s="15">
        <f t="shared" si="11"/>
        <v>660</v>
      </c>
      <c r="J228" s="15">
        <v>660</v>
      </c>
      <c r="K228" s="15">
        <v>0</v>
      </c>
      <c r="L228" s="15" t="s">
        <v>85</v>
      </c>
      <c r="M228" s="15" t="s">
        <v>520</v>
      </c>
    </row>
    <row r="229" spans="1:13" ht="409.6" thickBot="1" x14ac:dyDescent="0.35">
      <c r="A229" s="64" t="s">
        <v>133</v>
      </c>
      <c r="B229" s="64">
        <v>115013</v>
      </c>
      <c r="C229" s="35">
        <f t="shared" si="9"/>
        <v>2074.2666666666669</v>
      </c>
      <c r="D229" s="35">
        <f t="shared" si="10"/>
        <v>2450.8666666666668</v>
      </c>
      <c r="E229" s="15">
        <v>15</v>
      </c>
      <c r="F229" s="65" t="s">
        <v>299</v>
      </c>
      <c r="G229" s="15" t="s">
        <v>300</v>
      </c>
      <c r="H229" s="15">
        <v>31114</v>
      </c>
      <c r="I229" s="15">
        <f t="shared" si="11"/>
        <v>36763</v>
      </c>
      <c r="J229" s="15">
        <v>36763</v>
      </c>
      <c r="K229" s="15">
        <v>0</v>
      </c>
      <c r="L229" s="15" t="s">
        <v>26</v>
      </c>
      <c r="M229" s="15" t="s">
        <v>521</v>
      </c>
    </row>
    <row r="230" spans="1:13" ht="31.8" thickBot="1" x14ac:dyDescent="0.35">
      <c r="A230" s="64" t="s">
        <v>133</v>
      </c>
      <c r="B230" s="64">
        <v>109029</v>
      </c>
      <c r="C230" s="35">
        <f t="shared" si="9"/>
        <v>264</v>
      </c>
      <c r="D230" s="35">
        <f t="shared" si="10"/>
        <v>268</v>
      </c>
      <c r="E230" s="15">
        <v>1</v>
      </c>
      <c r="F230" s="65" t="s">
        <v>299</v>
      </c>
      <c r="G230" s="15" t="s">
        <v>300</v>
      </c>
      <c r="H230" s="15">
        <v>264</v>
      </c>
      <c r="I230" s="15">
        <f t="shared" si="11"/>
        <v>268</v>
      </c>
      <c r="J230" s="15">
        <v>268</v>
      </c>
      <c r="K230" s="15">
        <v>0</v>
      </c>
      <c r="L230" s="15" t="s">
        <v>89</v>
      </c>
      <c r="M230" s="15" t="s">
        <v>522</v>
      </c>
    </row>
    <row r="231" spans="1:13" ht="31.8" thickBot="1" x14ac:dyDescent="0.35">
      <c r="A231" s="64" t="s">
        <v>133</v>
      </c>
      <c r="B231" s="64">
        <v>117023</v>
      </c>
      <c r="C231" s="35">
        <f t="shared" si="9"/>
        <v>120</v>
      </c>
      <c r="D231" s="35">
        <f t="shared" si="10"/>
        <v>163</v>
      </c>
      <c r="E231" s="15">
        <v>3</v>
      </c>
      <c r="F231" s="65" t="s">
        <v>299</v>
      </c>
      <c r="G231" s="15" t="s">
        <v>309</v>
      </c>
      <c r="H231" s="15">
        <v>360</v>
      </c>
      <c r="I231" s="15">
        <f t="shared" si="11"/>
        <v>489</v>
      </c>
      <c r="J231" s="15">
        <v>489</v>
      </c>
      <c r="K231" s="15">
        <v>0</v>
      </c>
      <c r="L231" s="15" t="s">
        <v>99</v>
      </c>
      <c r="M231" s="15" t="s">
        <v>523</v>
      </c>
    </row>
    <row r="232" spans="1:13" ht="47.4" thickBot="1" x14ac:dyDescent="0.35">
      <c r="A232" s="64" t="s">
        <v>133</v>
      </c>
      <c r="B232" s="64">
        <v>117024</v>
      </c>
      <c r="C232" s="35">
        <f t="shared" si="9"/>
        <v>91.5</v>
      </c>
      <c r="D232" s="35">
        <f t="shared" si="10"/>
        <v>114</v>
      </c>
      <c r="E232" s="15">
        <v>2</v>
      </c>
      <c r="F232" s="65" t="s">
        <v>299</v>
      </c>
      <c r="G232" s="15" t="s">
        <v>309</v>
      </c>
      <c r="H232" s="15">
        <v>183</v>
      </c>
      <c r="I232" s="15">
        <f t="shared" si="11"/>
        <v>228</v>
      </c>
      <c r="J232" s="15">
        <v>228</v>
      </c>
      <c r="K232" s="15">
        <v>0</v>
      </c>
      <c r="L232" s="15" t="s">
        <v>99</v>
      </c>
      <c r="M232" s="15" t="s">
        <v>524</v>
      </c>
    </row>
    <row r="233" spans="1:13" ht="409.6" thickBot="1" x14ac:dyDescent="0.35">
      <c r="A233" s="64" t="s">
        <v>133</v>
      </c>
      <c r="B233" s="64">
        <v>117025</v>
      </c>
      <c r="C233" s="35">
        <f t="shared" si="9"/>
        <v>3873.3888888888887</v>
      </c>
      <c r="D233" s="35">
        <f t="shared" si="10"/>
        <v>4769</v>
      </c>
      <c r="E233" s="15">
        <v>18</v>
      </c>
      <c r="F233" s="65">
        <v>1</v>
      </c>
      <c r="G233" s="15" t="s">
        <v>300</v>
      </c>
      <c r="H233" s="15">
        <v>69721</v>
      </c>
      <c r="I233" s="15">
        <f t="shared" si="11"/>
        <v>85842</v>
      </c>
      <c r="J233" s="15">
        <v>85842</v>
      </c>
      <c r="K233" s="15">
        <v>0</v>
      </c>
      <c r="L233" s="15" t="s">
        <v>99</v>
      </c>
      <c r="M233" s="15" t="s">
        <v>525</v>
      </c>
    </row>
    <row r="234" spans="1:13" ht="409.6" thickBot="1" x14ac:dyDescent="0.35">
      <c r="A234" s="64" t="s">
        <v>133</v>
      </c>
      <c r="B234" s="64">
        <v>118018</v>
      </c>
      <c r="C234" s="35">
        <f t="shared" si="9"/>
        <v>3255.7777777777778</v>
      </c>
      <c r="D234" s="35">
        <f t="shared" si="10"/>
        <v>4119.666666666667</v>
      </c>
      <c r="E234" s="15">
        <v>9</v>
      </c>
      <c r="F234" s="65">
        <v>1</v>
      </c>
      <c r="G234" s="15" t="s">
        <v>300</v>
      </c>
      <c r="H234" s="15">
        <v>29302</v>
      </c>
      <c r="I234" s="15">
        <f t="shared" si="11"/>
        <v>37077</v>
      </c>
      <c r="J234" s="15">
        <v>37077</v>
      </c>
      <c r="K234" s="15">
        <v>0</v>
      </c>
      <c r="L234" s="15" t="s">
        <v>85</v>
      </c>
      <c r="M234" s="15" t="s">
        <v>526</v>
      </c>
    </row>
    <row r="235" spans="1:13" ht="16.2" thickBot="1" x14ac:dyDescent="0.35">
      <c r="A235" s="64" t="s">
        <v>133</v>
      </c>
      <c r="B235" s="64">
        <v>118020</v>
      </c>
      <c r="C235" s="35">
        <f t="shared" si="9"/>
        <v>183</v>
      </c>
      <c r="D235" s="35">
        <f t="shared" si="10"/>
        <v>469.5</v>
      </c>
      <c r="E235" s="15">
        <v>2</v>
      </c>
      <c r="F235" s="65">
        <v>1</v>
      </c>
      <c r="G235" s="15" t="s">
        <v>300</v>
      </c>
      <c r="H235" s="15">
        <v>366</v>
      </c>
      <c r="I235" s="15">
        <f t="shared" si="11"/>
        <v>939</v>
      </c>
      <c r="J235" s="15">
        <v>939</v>
      </c>
      <c r="K235" s="15">
        <v>0</v>
      </c>
      <c r="L235" s="15" t="s">
        <v>85</v>
      </c>
      <c r="M235" s="15" t="s">
        <v>527</v>
      </c>
    </row>
    <row r="236" spans="1:13" ht="78.599999999999994" thickBot="1" x14ac:dyDescent="0.35">
      <c r="A236" s="64" t="s">
        <v>133</v>
      </c>
      <c r="B236" s="64">
        <v>116007</v>
      </c>
      <c r="C236" s="35">
        <f t="shared" si="9"/>
        <v>7503</v>
      </c>
      <c r="D236" s="35">
        <f t="shared" si="10"/>
        <v>7739</v>
      </c>
      <c r="E236" s="15">
        <v>1</v>
      </c>
      <c r="F236" s="65" t="s">
        <v>299</v>
      </c>
      <c r="G236" s="15" t="s">
        <v>300</v>
      </c>
      <c r="H236" s="15">
        <v>7503</v>
      </c>
      <c r="I236" s="15">
        <f t="shared" si="11"/>
        <v>7739</v>
      </c>
      <c r="J236" s="15">
        <v>7739</v>
      </c>
      <c r="K236" s="15">
        <v>0</v>
      </c>
      <c r="L236" s="15" t="s">
        <v>528</v>
      </c>
      <c r="M236" s="15" t="s">
        <v>529</v>
      </c>
    </row>
    <row r="237" spans="1:13" ht="31.8" thickBot="1" x14ac:dyDescent="0.35">
      <c r="A237" s="64" t="s">
        <v>133</v>
      </c>
      <c r="B237" s="64">
        <v>114032</v>
      </c>
      <c r="C237" s="35">
        <f t="shared" si="9"/>
        <v>19</v>
      </c>
      <c r="D237" s="35">
        <f t="shared" si="10"/>
        <v>17</v>
      </c>
      <c r="E237" s="15">
        <v>1</v>
      </c>
      <c r="F237" s="65" t="s">
        <v>299</v>
      </c>
      <c r="G237" s="15" t="s">
        <v>300</v>
      </c>
      <c r="H237" s="15">
        <v>19</v>
      </c>
      <c r="I237" s="15">
        <f t="shared" si="11"/>
        <v>17</v>
      </c>
      <c r="J237" s="15">
        <v>17</v>
      </c>
      <c r="K237" s="15">
        <v>0</v>
      </c>
      <c r="L237" s="15" t="s">
        <v>530</v>
      </c>
      <c r="M237" s="15" t="s">
        <v>531</v>
      </c>
    </row>
    <row r="238" spans="1:13" ht="16.2" thickBot="1" x14ac:dyDescent="0.35">
      <c r="A238" s="64" t="s">
        <v>133</v>
      </c>
      <c r="B238" s="64">
        <v>114038</v>
      </c>
      <c r="C238" s="35">
        <f t="shared" si="9"/>
        <v>113</v>
      </c>
      <c r="D238" s="35">
        <f t="shared" si="10"/>
        <v>114</v>
      </c>
      <c r="E238" s="15">
        <v>1</v>
      </c>
      <c r="F238" s="65" t="s">
        <v>299</v>
      </c>
      <c r="G238" s="15" t="s">
        <v>300</v>
      </c>
      <c r="H238" s="15">
        <v>113</v>
      </c>
      <c r="I238" s="15">
        <f t="shared" si="11"/>
        <v>114</v>
      </c>
      <c r="J238" s="15">
        <v>114</v>
      </c>
      <c r="K238" s="15">
        <v>0</v>
      </c>
      <c r="L238" s="15" t="s">
        <v>96</v>
      </c>
      <c r="M238" s="15" t="s">
        <v>532</v>
      </c>
    </row>
    <row r="239" spans="1:13" ht="31.8" thickBot="1" x14ac:dyDescent="0.35">
      <c r="A239" s="64" t="s">
        <v>133</v>
      </c>
      <c r="B239" s="64">
        <v>114039</v>
      </c>
      <c r="C239" s="35">
        <f t="shared" si="9"/>
        <v>29</v>
      </c>
      <c r="D239" s="35">
        <f t="shared" si="10"/>
        <v>31</v>
      </c>
      <c r="E239" s="15">
        <v>1</v>
      </c>
      <c r="F239" s="65" t="s">
        <v>299</v>
      </c>
      <c r="G239" s="15" t="s">
        <v>300</v>
      </c>
      <c r="H239" s="15">
        <v>29</v>
      </c>
      <c r="I239" s="15">
        <f t="shared" si="11"/>
        <v>31</v>
      </c>
      <c r="J239" s="15">
        <v>31</v>
      </c>
      <c r="K239" s="15">
        <v>0</v>
      </c>
      <c r="L239" s="15" t="s">
        <v>96</v>
      </c>
      <c r="M239" s="15" t="s">
        <v>533</v>
      </c>
    </row>
    <row r="240" spans="1:13" ht="16.2" thickBot="1" x14ac:dyDescent="0.35">
      <c r="A240" s="64" t="s">
        <v>133</v>
      </c>
      <c r="B240" s="64">
        <v>114073</v>
      </c>
      <c r="C240" s="35">
        <f t="shared" si="9"/>
        <v>86</v>
      </c>
      <c r="D240" s="35">
        <f t="shared" si="10"/>
        <v>88</v>
      </c>
      <c r="E240" s="15">
        <v>1</v>
      </c>
      <c r="F240" s="65" t="s">
        <v>299</v>
      </c>
      <c r="G240" s="15" t="s">
        <v>300</v>
      </c>
      <c r="H240" s="15">
        <v>86</v>
      </c>
      <c r="I240" s="15">
        <f t="shared" si="11"/>
        <v>88</v>
      </c>
      <c r="J240" s="15">
        <v>88</v>
      </c>
      <c r="K240" s="15">
        <v>0</v>
      </c>
      <c r="L240" s="15" t="s">
        <v>96</v>
      </c>
      <c r="M240" s="15" t="s">
        <v>534</v>
      </c>
    </row>
    <row r="241" spans="1:13" ht="16.2" thickBot="1" x14ac:dyDescent="0.35">
      <c r="A241" s="64" t="s">
        <v>133</v>
      </c>
      <c r="B241" s="64">
        <v>114043</v>
      </c>
      <c r="C241" s="35">
        <f t="shared" si="9"/>
        <v>19</v>
      </c>
      <c r="D241" s="35">
        <f t="shared" si="10"/>
        <v>20</v>
      </c>
      <c r="E241" s="15">
        <v>1</v>
      </c>
      <c r="F241" s="65" t="s">
        <v>299</v>
      </c>
      <c r="G241" s="15" t="s">
        <v>300</v>
      </c>
      <c r="H241" s="15">
        <v>19</v>
      </c>
      <c r="I241" s="15">
        <f t="shared" si="11"/>
        <v>20</v>
      </c>
      <c r="J241" s="15">
        <v>20</v>
      </c>
      <c r="K241" s="15">
        <v>0</v>
      </c>
      <c r="L241" s="15" t="s">
        <v>96</v>
      </c>
      <c r="M241" s="15" t="s">
        <v>301</v>
      </c>
    </row>
    <row r="242" spans="1:13" ht="409.6" thickBot="1" x14ac:dyDescent="0.35">
      <c r="A242" s="64" t="s">
        <v>133</v>
      </c>
      <c r="B242" s="64">
        <v>104011</v>
      </c>
      <c r="C242" s="35">
        <f t="shared" si="9"/>
        <v>3835</v>
      </c>
      <c r="D242" s="35">
        <f t="shared" si="10"/>
        <v>7769.333333333333</v>
      </c>
      <c r="E242" s="15">
        <v>6</v>
      </c>
      <c r="F242" s="65">
        <v>1</v>
      </c>
      <c r="G242" s="15" t="s">
        <v>300</v>
      </c>
      <c r="H242" s="15">
        <v>23010</v>
      </c>
      <c r="I242" s="15">
        <f t="shared" si="11"/>
        <v>46616</v>
      </c>
      <c r="J242" s="15">
        <v>46616</v>
      </c>
      <c r="K242" s="15">
        <v>0</v>
      </c>
      <c r="L242" s="15" t="s">
        <v>100</v>
      </c>
      <c r="M242" s="15" t="s">
        <v>535</v>
      </c>
    </row>
    <row r="243" spans="1:13" ht="16.2" thickBot="1" x14ac:dyDescent="0.35">
      <c r="A243" s="64" t="s">
        <v>133</v>
      </c>
      <c r="B243" s="64">
        <v>110108</v>
      </c>
      <c r="C243" s="35">
        <f t="shared" si="9"/>
        <v>3</v>
      </c>
      <c r="D243" s="35">
        <f t="shared" si="10"/>
        <v>2</v>
      </c>
      <c r="E243" s="15">
        <v>1</v>
      </c>
      <c r="F243" s="65" t="s">
        <v>299</v>
      </c>
      <c r="G243" s="15" t="s">
        <v>300</v>
      </c>
      <c r="H243" s="15">
        <v>3</v>
      </c>
      <c r="I243" s="15">
        <f t="shared" si="11"/>
        <v>2</v>
      </c>
      <c r="J243" s="15">
        <v>2</v>
      </c>
      <c r="K243" s="15">
        <v>0</v>
      </c>
      <c r="L243" s="15" t="s">
        <v>93</v>
      </c>
      <c r="M243" s="15" t="s">
        <v>536</v>
      </c>
    </row>
    <row r="244" spans="1:13" ht="16.2" thickBot="1" x14ac:dyDescent="0.35">
      <c r="A244" s="64" t="s">
        <v>133</v>
      </c>
      <c r="B244" s="64">
        <v>108010</v>
      </c>
      <c r="C244" s="35">
        <f t="shared" si="9"/>
        <v>112</v>
      </c>
      <c r="D244" s="35">
        <f t="shared" si="10"/>
        <v>172</v>
      </c>
      <c r="E244" s="15">
        <v>1</v>
      </c>
      <c r="F244" s="65" t="s">
        <v>299</v>
      </c>
      <c r="G244" s="15" t="s">
        <v>300</v>
      </c>
      <c r="H244" s="15">
        <v>112</v>
      </c>
      <c r="I244" s="15">
        <f t="shared" si="11"/>
        <v>172</v>
      </c>
      <c r="J244" s="15">
        <v>172</v>
      </c>
      <c r="K244" s="15">
        <v>0</v>
      </c>
      <c r="L244" s="15" t="s">
        <v>92</v>
      </c>
      <c r="M244" s="15" t="s">
        <v>537</v>
      </c>
    </row>
    <row r="245" spans="1:13" ht="172.2" thickBot="1" x14ac:dyDescent="0.35">
      <c r="A245" s="64" t="s">
        <v>133</v>
      </c>
      <c r="B245" s="64">
        <v>108015</v>
      </c>
      <c r="C245" s="35">
        <f t="shared" si="9"/>
        <v>1805.4</v>
      </c>
      <c r="D245" s="35">
        <f t="shared" si="10"/>
        <v>2803</v>
      </c>
      <c r="E245" s="15">
        <v>5</v>
      </c>
      <c r="F245" s="65" t="s">
        <v>299</v>
      </c>
      <c r="G245" s="15" t="s">
        <v>300</v>
      </c>
      <c r="H245" s="15">
        <v>9027</v>
      </c>
      <c r="I245" s="15">
        <f t="shared" si="11"/>
        <v>14015</v>
      </c>
      <c r="J245" s="15">
        <v>14015</v>
      </c>
      <c r="K245" s="15">
        <v>0</v>
      </c>
      <c r="L245" s="15" t="s">
        <v>92</v>
      </c>
      <c r="M245" s="15" t="s">
        <v>538</v>
      </c>
    </row>
    <row r="246" spans="1:13" ht="94.2" thickBot="1" x14ac:dyDescent="0.35">
      <c r="A246" s="64" t="s">
        <v>133</v>
      </c>
      <c r="B246" s="64">
        <v>108011</v>
      </c>
      <c r="C246" s="35">
        <f t="shared" si="9"/>
        <v>1284</v>
      </c>
      <c r="D246" s="35">
        <f t="shared" si="10"/>
        <v>1541.6666666666667</v>
      </c>
      <c r="E246" s="15">
        <v>3</v>
      </c>
      <c r="F246" s="65" t="s">
        <v>299</v>
      </c>
      <c r="G246" s="15" t="s">
        <v>300</v>
      </c>
      <c r="H246" s="15">
        <v>3852</v>
      </c>
      <c r="I246" s="15">
        <f t="shared" si="11"/>
        <v>4625</v>
      </c>
      <c r="J246" s="15">
        <v>4625</v>
      </c>
      <c r="K246" s="15">
        <v>0</v>
      </c>
      <c r="L246" s="15" t="s">
        <v>92</v>
      </c>
      <c r="M246" s="15" t="s">
        <v>539</v>
      </c>
    </row>
    <row r="247" spans="1:13" ht="141" thickBot="1" x14ac:dyDescent="0.35">
      <c r="A247" s="64" t="s">
        <v>133</v>
      </c>
      <c r="B247" s="64">
        <v>108012</v>
      </c>
      <c r="C247" s="35">
        <f t="shared" si="9"/>
        <v>2985.5</v>
      </c>
      <c r="D247" s="35">
        <f t="shared" si="10"/>
        <v>3401</v>
      </c>
      <c r="E247" s="15">
        <v>2</v>
      </c>
      <c r="F247" s="65">
        <v>1</v>
      </c>
      <c r="G247" s="15" t="s">
        <v>300</v>
      </c>
      <c r="H247" s="15">
        <v>5971</v>
      </c>
      <c r="I247" s="15">
        <f t="shared" si="11"/>
        <v>6802</v>
      </c>
      <c r="J247" s="15">
        <v>6802</v>
      </c>
      <c r="K247" s="15">
        <v>0</v>
      </c>
      <c r="L247" s="15" t="s">
        <v>92</v>
      </c>
      <c r="M247" s="15" t="s">
        <v>540</v>
      </c>
    </row>
    <row r="248" spans="1:13" ht="156.6" thickBot="1" x14ac:dyDescent="0.35">
      <c r="A248" s="64" t="s">
        <v>133</v>
      </c>
      <c r="B248" s="64">
        <v>108013</v>
      </c>
      <c r="C248" s="35">
        <f t="shared" si="9"/>
        <v>1762.25</v>
      </c>
      <c r="D248" s="35">
        <f t="shared" si="10"/>
        <v>2012</v>
      </c>
      <c r="E248" s="15">
        <v>4</v>
      </c>
      <c r="F248" s="65" t="s">
        <v>299</v>
      </c>
      <c r="G248" s="15" t="s">
        <v>300</v>
      </c>
      <c r="H248" s="15">
        <v>7049</v>
      </c>
      <c r="I248" s="15">
        <f t="shared" si="11"/>
        <v>8048</v>
      </c>
      <c r="J248" s="15">
        <v>8048</v>
      </c>
      <c r="K248" s="15">
        <v>0</v>
      </c>
      <c r="L248" s="15" t="s">
        <v>92</v>
      </c>
      <c r="M248" s="15" t="s">
        <v>541</v>
      </c>
    </row>
    <row r="249" spans="1:13" ht="156.6" thickBot="1" x14ac:dyDescent="0.35">
      <c r="A249" s="64" t="s">
        <v>133</v>
      </c>
      <c r="B249" s="64">
        <v>112023</v>
      </c>
      <c r="C249" s="35">
        <f t="shared" si="9"/>
        <v>4212</v>
      </c>
      <c r="D249" s="35">
        <f t="shared" si="10"/>
        <v>4754</v>
      </c>
      <c r="E249" s="15">
        <v>2</v>
      </c>
      <c r="F249" s="65" t="s">
        <v>299</v>
      </c>
      <c r="G249" s="15" t="s">
        <v>300</v>
      </c>
      <c r="H249" s="15">
        <v>8424</v>
      </c>
      <c r="I249" s="15">
        <f t="shared" si="11"/>
        <v>9508</v>
      </c>
      <c r="J249" s="15">
        <v>9508</v>
      </c>
      <c r="K249" s="15">
        <v>0</v>
      </c>
      <c r="L249" s="15" t="s">
        <v>95</v>
      </c>
      <c r="M249" s="15" t="s">
        <v>542</v>
      </c>
    </row>
    <row r="250" spans="1:13" ht="265.8" thickBot="1" x14ac:dyDescent="0.35">
      <c r="A250" s="64" t="s">
        <v>133</v>
      </c>
      <c r="B250" s="64">
        <v>112024</v>
      </c>
      <c r="C250" s="35">
        <f t="shared" si="9"/>
        <v>9773</v>
      </c>
      <c r="D250" s="35">
        <f t="shared" si="10"/>
        <v>13353</v>
      </c>
      <c r="E250" s="15">
        <v>2</v>
      </c>
      <c r="F250" s="65" t="s">
        <v>299</v>
      </c>
      <c r="G250" s="15" t="s">
        <v>300</v>
      </c>
      <c r="H250" s="15">
        <v>19546</v>
      </c>
      <c r="I250" s="15">
        <f t="shared" si="11"/>
        <v>26706</v>
      </c>
      <c r="J250" s="15">
        <v>26706</v>
      </c>
      <c r="K250" s="15">
        <v>0</v>
      </c>
      <c r="L250" s="15" t="s">
        <v>95</v>
      </c>
      <c r="M250" s="15" t="s">
        <v>543</v>
      </c>
    </row>
    <row r="251" spans="1:13" ht="31.8" thickBot="1" x14ac:dyDescent="0.35">
      <c r="A251" s="64" t="s">
        <v>133</v>
      </c>
      <c r="B251" s="64">
        <v>112038</v>
      </c>
      <c r="C251" s="35">
        <f t="shared" si="9"/>
        <v>1030</v>
      </c>
      <c r="D251" s="35">
        <f t="shared" si="10"/>
        <v>1829</v>
      </c>
      <c r="E251" s="15">
        <v>2</v>
      </c>
      <c r="F251" s="65" t="s">
        <v>299</v>
      </c>
      <c r="G251" s="15" t="s">
        <v>300</v>
      </c>
      <c r="H251" s="15">
        <v>2060</v>
      </c>
      <c r="I251" s="15">
        <f t="shared" si="11"/>
        <v>3658</v>
      </c>
      <c r="J251" s="15">
        <v>3658</v>
      </c>
      <c r="K251" s="15">
        <v>0</v>
      </c>
      <c r="L251" s="15" t="s">
        <v>95</v>
      </c>
      <c r="M251" s="15" t="s">
        <v>544</v>
      </c>
    </row>
    <row r="252" spans="1:13" ht="31.8" thickBot="1" x14ac:dyDescent="0.35">
      <c r="A252" s="64" t="s">
        <v>133</v>
      </c>
      <c r="B252" s="64">
        <v>112027</v>
      </c>
      <c r="C252" s="35">
        <f t="shared" si="9"/>
        <v>1191</v>
      </c>
      <c r="D252" s="35">
        <f t="shared" si="10"/>
        <v>979</v>
      </c>
      <c r="E252" s="15">
        <v>1</v>
      </c>
      <c r="F252" s="65" t="s">
        <v>299</v>
      </c>
      <c r="G252" s="15" t="s">
        <v>300</v>
      </c>
      <c r="H252" s="15">
        <v>1191</v>
      </c>
      <c r="I252" s="15">
        <f t="shared" si="11"/>
        <v>979</v>
      </c>
      <c r="J252" s="15">
        <v>979</v>
      </c>
      <c r="K252" s="15">
        <v>0</v>
      </c>
      <c r="L252" s="15" t="s">
        <v>95</v>
      </c>
      <c r="M252" s="15" t="s">
        <v>545</v>
      </c>
    </row>
    <row r="253" spans="1:13" ht="31.8" thickBot="1" x14ac:dyDescent="0.35">
      <c r="A253" s="64" t="s">
        <v>133</v>
      </c>
      <c r="B253" s="64">
        <v>114016</v>
      </c>
      <c r="C253" s="35">
        <f t="shared" si="9"/>
        <v>365.5</v>
      </c>
      <c r="D253" s="35">
        <f t="shared" si="10"/>
        <v>407</v>
      </c>
      <c r="E253" s="15">
        <v>2</v>
      </c>
      <c r="F253" s="65" t="s">
        <v>299</v>
      </c>
      <c r="G253" s="15" t="s">
        <v>300</v>
      </c>
      <c r="H253" s="15">
        <v>731</v>
      </c>
      <c r="I253" s="15">
        <f t="shared" si="11"/>
        <v>814</v>
      </c>
      <c r="J253" s="15">
        <v>814</v>
      </c>
      <c r="K253" s="15">
        <v>0</v>
      </c>
      <c r="L253" s="15" t="s">
        <v>96</v>
      </c>
      <c r="M253" s="15" t="s">
        <v>546</v>
      </c>
    </row>
    <row r="254" spans="1:13" ht="63" thickBot="1" x14ac:dyDescent="0.35">
      <c r="A254" s="64" t="s">
        <v>133</v>
      </c>
      <c r="B254" s="64">
        <v>117026</v>
      </c>
      <c r="C254" s="35">
        <f t="shared" si="9"/>
        <v>3574</v>
      </c>
      <c r="D254" s="35">
        <f t="shared" si="10"/>
        <v>4061</v>
      </c>
      <c r="E254" s="15">
        <v>1</v>
      </c>
      <c r="F254" s="65" t="s">
        <v>299</v>
      </c>
      <c r="G254" s="15" t="s">
        <v>300</v>
      </c>
      <c r="H254" s="15">
        <v>3574</v>
      </c>
      <c r="I254" s="15">
        <f t="shared" si="11"/>
        <v>4061</v>
      </c>
      <c r="J254" s="15">
        <v>4061</v>
      </c>
      <c r="K254" s="15">
        <v>0</v>
      </c>
      <c r="L254" s="15" t="s">
        <v>99</v>
      </c>
      <c r="M254" s="15" t="s">
        <v>547</v>
      </c>
    </row>
    <row r="255" spans="1:13" ht="409.6" thickBot="1" x14ac:dyDescent="0.35">
      <c r="A255" s="64" t="s">
        <v>133</v>
      </c>
      <c r="B255" s="64">
        <v>112028</v>
      </c>
      <c r="C255" s="35">
        <f t="shared" si="9"/>
        <v>4441.6428571428569</v>
      </c>
      <c r="D255" s="35">
        <f t="shared" si="10"/>
        <v>5818.4285714285716</v>
      </c>
      <c r="E255" s="15">
        <v>28</v>
      </c>
      <c r="F255" s="65">
        <v>3</v>
      </c>
      <c r="G255" s="15" t="s">
        <v>300</v>
      </c>
      <c r="H255" s="15">
        <v>124366</v>
      </c>
      <c r="I255" s="15">
        <f t="shared" si="11"/>
        <v>162916</v>
      </c>
      <c r="J255" s="15">
        <v>162916</v>
      </c>
      <c r="K255" s="15">
        <v>0</v>
      </c>
      <c r="L255" s="15" t="s">
        <v>430</v>
      </c>
      <c r="M255" s="15" t="s">
        <v>548</v>
      </c>
    </row>
    <row r="256" spans="1:13" ht="16.2" thickBot="1" x14ac:dyDescent="0.35">
      <c r="A256" s="64" t="s">
        <v>133</v>
      </c>
      <c r="B256" s="64">
        <v>117037</v>
      </c>
      <c r="C256" s="35">
        <f t="shared" si="9"/>
        <v>40</v>
      </c>
      <c r="D256" s="35">
        <f t="shared" si="10"/>
        <v>51</v>
      </c>
      <c r="E256" s="15">
        <v>1</v>
      </c>
      <c r="F256" s="65" t="s">
        <v>299</v>
      </c>
      <c r="G256" s="15" t="s">
        <v>300</v>
      </c>
      <c r="H256" s="15">
        <v>40</v>
      </c>
      <c r="I256" s="15">
        <f t="shared" si="11"/>
        <v>51</v>
      </c>
      <c r="J256" s="15">
        <v>51</v>
      </c>
      <c r="K256" s="15">
        <v>0</v>
      </c>
      <c r="L256" s="15" t="s">
        <v>99</v>
      </c>
      <c r="M256" s="15" t="s">
        <v>549</v>
      </c>
    </row>
    <row r="257" spans="1:13" ht="234.6" thickBot="1" x14ac:dyDescent="0.35">
      <c r="A257" s="64" t="s">
        <v>133</v>
      </c>
      <c r="B257" s="64">
        <v>108018</v>
      </c>
      <c r="C257" s="35">
        <f t="shared" si="9"/>
        <v>5577.333333333333</v>
      </c>
      <c r="D257" s="35">
        <f t="shared" si="10"/>
        <v>7033.333333333333</v>
      </c>
      <c r="E257" s="15">
        <v>3</v>
      </c>
      <c r="F257" s="65" t="s">
        <v>299</v>
      </c>
      <c r="G257" s="15" t="s">
        <v>300</v>
      </c>
      <c r="H257" s="15">
        <v>16732</v>
      </c>
      <c r="I257" s="15">
        <f t="shared" si="11"/>
        <v>21100</v>
      </c>
      <c r="J257" s="15">
        <v>21100</v>
      </c>
      <c r="K257" s="15">
        <v>0</v>
      </c>
      <c r="L257" s="15" t="s">
        <v>97</v>
      </c>
      <c r="M257" s="15" t="s">
        <v>550</v>
      </c>
    </row>
    <row r="258" spans="1:13" ht="78.599999999999994" thickBot="1" x14ac:dyDescent="0.35">
      <c r="A258" s="64" t="s">
        <v>133</v>
      </c>
      <c r="B258" s="64">
        <v>117027</v>
      </c>
      <c r="C258" s="35">
        <f t="shared" si="9"/>
        <v>2619.5</v>
      </c>
      <c r="D258" s="35">
        <f t="shared" si="10"/>
        <v>3025.5</v>
      </c>
      <c r="E258" s="15">
        <v>2</v>
      </c>
      <c r="F258" s="65" t="s">
        <v>299</v>
      </c>
      <c r="G258" s="15" t="s">
        <v>300</v>
      </c>
      <c r="H258" s="15">
        <v>5239</v>
      </c>
      <c r="I258" s="15">
        <f t="shared" si="11"/>
        <v>6051</v>
      </c>
      <c r="J258" s="15">
        <v>6051</v>
      </c>
      <c r="K258" s="15">
        <v>0</v>
      </c>
      <c r="L258" s="15" t="s">
        <v>99</v>
      </c>
      <c r="M258" s="15" t="s">
        <v>551</v>
      </c>
    </row>
    <row r="259" spans="1:13" ht="63" thickBot="1" x14ac:dyDescent="0.35">
      <c r="A259" s="64" t="s">
        <v>133</v>
      </c>
      <c r="B259" s="64">
        <v>117028</v>
      </c>
      <c r="C259" s="35">
        <f t="shared" si="9"/>
        <v>178.75</v>
      </c>
      <c r="D259" s="35">
        <f t="shared" si="10"/>
        <v>209.5</v>
      </c>
      <c r="E259" s="15">
        <v>4</v>
      </c>
      <c r="F259" s="65" t="s">
        <v>299</v>
      </c>
      <c r="G259" s="15" t="s">
        <v>309</v>
      </c>
      <c r="H259" s="15">
        <v>715</v>
      </c>
      <c r="I259" s="15">
        <f t="shared" si="11"/>
        <v>838</v>
      </c>
      <c r="J259" s="15">
        <v>838</v>
      </c>
      <c r="K259" s="15">
        <v>0</v>
      </c>
      <c r="L259" s="15" t="s">
        <v>99</v>
      </c>
      <c r="M259" s="15" t="s">
        <v>552</v>
      </c>
    </row>
    <row r="260" spans="1:13" ht="187.8" thickBot="1" x14ac:dyDescent="0.35">
      <c r="A260" s="64" t="s">
        <v>133</v>
      </c>
      <c r="B260" s="64">
        <v>117029</v>
      </c>
      <c r="C260" s="35">
        <f t="shared" si="9"/>
        <v>3603.6666666666665</v>
      </c>
      <c r="D260" s="35">
        <f t="shared" si="10"/>
        <v>4111.333333333333</v>
      </c>
      <c r="E260" s="15">
        <v>3</v>
      </c>
      <c r="F260" s="65" t="s">
        <v>299</v>
      </c>
      <c r="G260" s="15" t="s">
        <v>300</v>
      </c>
      <c r="H260" s="15">
        <v>10811</v>
      </c>
      <c r="I260" s="15">
        <f t="shared" si="11"/>
        <v>12334</v>
      </c>
      <c r="J260" s="15">
        <v>12334</v>
      </c>
      <c r="K260" s="15">
        <v>0</v>
      </c>
      <c r="L260" s="15" t="s">
        <v>99</v>
      </c>
      <c r="M260" s="15" t="s">
        <v>553</v>
      </c>
    </row>
    <row r="261" spans="1:13" ht="187.8" thickBot="1" x14ac:dyDescent="0.35">
      <c r="A261" s="64" t="s">
        <v>133</v>
      </c>
      <c r="B261" s="64">
        <v>104009</v>
      </c>
      <c r="C261" s="35">
        <f t="shared" si="9"/>
        <v>7310</v>
      </c>
      <c r="D261" s="35">
        <f t="shared" si="10"/>
        <v>7816</v>
      </c>
      <c r="E261" s="15">
        <v>1</v>
      </c>
      <c r="F261" s="65" t="s">
        <v>299</v>
      </c>
      <c r="G261" s="15" t="s">
        <v>300</v>
      </c>
      <c r="H261" s="15">
        <v>7310</v>
      </c>
      <c r="I261" s="15">
        <f t="shared" si="11"/>
        <v>7816</v>
      </c>
      <c r="J261" s="15">
        <v>7816</v>
      </c>
      <c r="K261" s="15">
        <v>0</v>
      </c>
      <c r="L261" s="15" t="s">
        <v>554</v>
      </c>
      <c r="M261" s="15" t="s">
        <v>555</v>
      </c>
    </row>
    <row r="262" spans="1:13" ht="109.8" thickBot="1" x14ac:dyDescent="0.35">
      <c r="A262" s="64" t="s">
        <v>133</v>
      </c>
      <c r="B262" s="64">
        <v>104010</v>
      </c>
      <c r="C262" s="35">
        <f t="shared" si="9"/>
        <v>4006</v>
      </c>
      <c r="D262" s="35">
        <f t="shared" si="10"/>
        <v>4590</v>
      </c>
      <c r="E262" s="15">
        <v>1</v>
      </c>
      <c r="F262" s="65">
        <v>1</v>
      </c>
      <c r="G262" s="15" t="s">
        <v>300</v>
      </c>
      <c r="H262" s="15">
        <v>4006</v>
      </c>
      <c r="I262" s="15">
        <f t="shared" si="11"/>
        <v>4590</v>
      </c>
      <c r="J262" s="15">
        <v>4590</v>
      </c>
      <c r="K262" s="15">
        <v>0</v>
      </c>
      <c r="L262" s="15" t="s">
        <v>100</v>
      </c>
      <c r="M262" s="15" t="s">
        <v>556</v>
      </c>
    </row>
    <row r="263" spans="1:13" ht="409.6" thickBot="1" x14ac:dyDescent="0.35">
      <c r="A263" s="64" t="s">
        <v>133</v>
      </c>
      <c r="B263" s="64">
        <v>104012</v>
      </c>
      <c r="C263" s="35">
        <f t="shared" si="9"/>
        <v>330.3478260869565</v>
      </c>
      <c r="D263" s="35">
        <f t="shared" si="10"/>
        <v>664.17391304347825</v>
      </c>
      <c r="E263" s="15">
        <v>23</v>
      </c>
      <c r="F263" s="65" t="s">
        <v>299</v>
      </c>
      <c r="G263" s="15" t="s">
        <v>309</v>
      </c>
      <c r="H263" s="15">
        <v>7598</v>
      </c>
      <c r="I263" s="15">
        <f t="shared" si="11"/>
        <v>15276</v>
      </c>
      <c r="J263" s="15">
        <v>15276</v>
      </c>
      <c r="K263" s="15">
        <v>0</v>
      </c>
      <c r="L263" s="15" t="s">
        <v>100</v>
      </c>
      <c r="M263" s="15" t="s">
        <v>557</v>
      </c>
    </row>
    <row r="264" spans="1:13" ht="409.6" thickBot="1" x14ac:dyDescent="0.35">
      <c r="A264" s="64" t="s">
        <v>133</v>
      </c>
      <c r="B264" s="64">
        <v>104032</v>
      </c>
      <c r="C264" s="35">
        <f t="shared" ref="C264:C327" si="12">H264/E264</f>
        <v>4024.3333333333335</v>
      </c>
      <c r="D264" s="35">
        <f t="shared" ref="D264:D327" si="13">I264/E264</f>
        <v>5449.8809523809523</v>
      </c>
      <c r="E264" s="15">
        <v>42</v>
      </c>
      <c r="F264" s="65">
        <v>1</v>
      </c>
      <c r="G264" s="15" t="s">
        <v>300</v>
      </c>
      <c r="H264" s="15">
        <v>169022</v>
      </c>
      <c r="I264" s="15">
        <f t="shared" si="11"/>
        <v>228895</v>
      </c>
      <c r="J264" s="15">
        <v>228895</v>
      </c>
      <c r="K264" s="15">
        <v>0</v>
      </c>
      <c r="L264" s="15" t="s">
        <v>558</v>
      </c>
      <c r="M264" s="15" t="s">
        <v>559</v>
      </c>
    </row>
    <row r="265" spans="1:13" ht="47.4" thickBot="1" x14ac:dyDescent="0.35">
      <c r="A265" s="64" t="s">
        <v>133</v>
      </c>
      <c r="B265" s="64">
        <v>104013</v>
      </c>
      <c r="C265" s="35">
        <f t="shared" si="12"/>
        <v>311</v>
      </c>
      <c r="D265" s="35">
        <f t="shared" si="13"/>
        <v>467.8</v>
      </c>
      <c r="E265" s="15">
        <v>5</v>
      </c>
      <c r="F265" s="65" t="s">
        <v>299</v>
      </c>
      <c r="G265" s="15" t="s">
        <v>309</v>
      </c>
      <c r="H265" s="15">
        <v>1555</v>
      </c>
      <c r="I265" s="15">
        <f t="shared" ref="I265:I328" si="14">SUM(J265:K265)</f>
        <v>2339</v>
      </c>
      <c r="J265" s="15">
        <v>2339</v>
      </c>
      <c r="K265" s="15">
        <v>0</v>
      </c>
      <c r="L265" s="15" t="s">
        <v>100</v>
      </c>
      <c r="M265" s="15" t="s">
        <v>560</v>
      </c>
    </row>
    <row r="266" spans="1:13" ht="297" thickBot="1" x14ac:dyDescent="0.35">
      <c r="A266" s="64" t="s">
        <v>133</v>
      </c>
      <c r="B266" s="64">
        <v>104022</v>
      </c>
      <c r="C266" s="35">
        <f t="shared" si="12"/>
        <v>352.1764705882353</v>
      </c>
      <c r="D266" s="35">
        <f t="shared" si="13"/>
        <v>693.29411764705878</v>
      </c>
      <c r="E266" s="15">
        <v>17</v>
      </c>
      <c r="F266" s="65" t="s">
        <v>299</v>
      </c>
      <c r="G266" s="15" t="s">
        <v>309</v>
      </c>
      <c r="H266" s="15">
        <v>5987</v>
      </c>
      <c r="I266" s="15">
        <f t="shared" si="14"/>
        <v>11786</v>
      </c>
      <c r="J266" s="15">
        <v>11786</v>
      </c>
      <c r="K266" s="15">
        <v>0</v>
      </c>
      <c r="L266" s="15" t="s">
        <v>100</v>
      </c>
      <c r="M266" s="15" t="s">
        <v>561</v>
      </c>
    </row>
    <row r="267" spans="1:13" ht="409.6" thickBot="1" x14ac:dyDescent="0.35">
      <c r="A267" s="64" t="s">
        <v>133</v>
      </c>
      <c r="B267" s="64">
        <v>104014</v>
      </c>
      <c r="C267" s="35">
        <f t="shared" si="12"/>
        <v>3028.05</v>
      </c>
      <c r="D267" s="35">
        <f t="shared" si="13"/>
        <v>4927.45</v>
      </c>
      <c r="E267" s="15">
        <v>20</v>
      </c>
      <c r="F267" s="65" t="s">
        <v>299</v>
      </c>
      <c r="G267" s="15" t="s">
        <v>300</v>
      </c>
      <c r="H267" s="15">
        <v>60561</v>
      </c>
      <c r="I267" s="15">
        <f t="shared" si="14"/>
        <v>98549</v>
      </c>
      <c r="J267" s="15">
        <v>98549</v>
      </c>
      <c r="K267" s="15">
        <v>0</v>
      </c>
      <c r="L267" s="15" t="s">
        <v>558</v>
      </c>
      <c r="M267" s="15" t="s">
        <v>562</v>
      </c>
    </row>
    <row r="268" spans="1:13" ht="63" thickBot="1" x14ac:dyDescent="0.35">
      <c r="A268" s="64" t="s">
        <v>133</v>
      </c>
      <c r="B268" s="64">
        <v>104015</v>
      </c>
      <c r="C268" s="35">
        <f t="shared" si="12"/>
        <v>247.5</v>
      </c>
      <c r="D268" s="35">
        <f t="shared" si="13"/>
        <v>509.25</v>
      </c>
      <c r="E268" s="15">
        <v>4</v>
      </c>
      <c r="F268" s="65" t="s">
        <v>299</v>
      </c>
      <c r="G268" s="15" t="s">
        <v>309</v>
      </c>
      <c r="H268" s="15">
        <v>990</v>
      </c>
      <c r="I268" s="15">
        <f t="shared" si="14"/>
        <v>2037</v>
      </c>
      <c r="J268" s="15">
        <v>2037</v>
      </c>
      <c r="K268" s="15">
        <v>0</v>
      </c>
      <c r="L268" s="15" t="s">
        <v>100</v>
      </c>
      <c r="M268" s="15" t="s">
        <v>563</v>
      </c>
    </row>
    <row r="269" spans="1:13" ht="63" thickBot="1" x14ac:dyDescent="0.35">
      <c r="A269" s="64" t="s">
        <v>133</v>
      </c>
      <c r="B269" s="64">
        <v>109019</v>
      </c>
      <c r="C269" s="35">
        <f t="shared" si="12"/>
        <v>1571</v>
      </c>
      <c r="D269" s="35">
        <f t="shared" si="13"/>
        <v>1711.5</v>
      </c>
      <c r="E269" s="15">
        <v>2</v>
      </c>
      <c r="F269" s="65" t="s">
        <v>299</v>
      </c>
      <c r="G269" s="15" t="s">
        <v>300</v>
      </c>
      <c r="H269" s="15">
        <v>3142</v>
      </c>
      <c r="I269" s="15">
        <f t="shared" si="14"/>
        <v>3423</v>
      </c>
      <c r="J269" s="15">
        <v>3423</v>
      </c>
      <c r="K269" s="15">
        <v>0</v>
      </c>
      <c r="L269" s="15" t="s">
        <v>97</v>
      </c>
      <c r="M269" s="15" t="s">
        <v>564</v>
      </c>
    </row>
    <row r="270" spans="1:13" ht="16.2" thickBot="1" x14ac:dyDescent="0.35">
      <c r="A270" s="64" t="s">
        <v>133</v>
      </c>
      <c r="B270" s="64">
        <v>104041</v>
      </c>
      <c r="C270" s="35">
        <f t="shared" si="12"/>
        <v>6</v>
      </c>
      <c r="D270" s="35">
        <f t="shared" si="13"/>
        <v>14</v>
      </c>
      <c r="E270" s="15">
        <v>1</v>
      </c>
      <c r="F270" s="65" t="s">
        <v>299</v>
      </c>
      <c r="G270" s="15" t="s">
        <v>300</v>
      </c>
      <c r="H270" s="15">
        <v>6</v>
      </c>
      <c r="I270" s="15">
        <f t="shared" si="14"/>
        <v>14</v>
      </c>
      <c r="J270" s="15">
        <v>14</v>
      </c>
      <c r="K270" s="15">
        <v>0</v>
      </c>
      <c r="L270" s="15" t="s">
        <v>100</v>
      </c>
      <c r="M270" s="15" t="s">
        <v>565</v>
      </c>
    </row>
    <row r="271" spans="1:13" ht="78.599999999999994" thickBot="1" x14ac:dyDescent="0.35">
      <c r="A271" s="64" t="s">
        <v>133</v>
      </c>
      <c r="B271" s="64">
        <v>114017</v>
      </c>
      <c r="C271" s="35">
        <f t="shared" si="12"/>
        <v>2159</v>
      </c>
      <c r="D271" s="35">
        <f t="shared" si="13"/>
        <v>2412</v>
      </c>
      <c r="E271" s="15">
        <v>2</v>
      </c>
      <c r="F271" s="65" t="s">
        <v>299</v>
      </c>
      <c r="G271" s="15" t="s">
        <v>300</v>
      </c>
      <c r="H271" s="15">
        <v>4318</v>
      </c>
      <c r="I271" s="15">
        <f t="shared" si="14"/>
        <v>4824</v>
      </c>
      <c r="J271" s="15">
        <v>4824</v>
      </c>
      <c r="K271" s="15">
        <v>0</v>
      </c>
      <c r="L271" s="15" t="s">
        <v>96</v>
      </c>
      <c r="M271" s="15" t="s">
        <v>566</v>
      </c>
    </row>
    <row r="272" spans="1:13" ht="31.8" thickBot="1" x14ac:dyDescent="0.35">
      <c r="A272" s="64" t="s">
        <v>133</v>
      </c>
      <c r="B272" s="64">
        <v>118055</v>
      </c>
      <c r="C272" s="35">
        <f t="shared" si="12"/>
        <v>540</v>
      </c>
      <c r="D272" s="35">
        <f t="shared" si="13"/>
        <v>673</v>
      </c>
      <c r="E272" s="15">
        <v>1</v>
      </c>
      <c r="F272" s="65" t="s">
        <v>299</v>
      </c>
      <c r="G272" s="15" t="s">
        <v>300</v>
      </c>
      <c r="H272" s="15">
        <v>540</v>
      </c>
      <c r="I272" s="15">
        <f t="shared" si="14"/>
        <v>673</v>
      </c>
      <c r="J272" s="15">
        <v>673</v>
      </c>
      <c r="K272" s="15">
        <v>0</v>
      </c>
      <c r="L272" s="15" t="s">
        <v>85</v>
      </c>
      <c r="M272" s="15" t="s">
        <v>567</v>
      </c>
    </row>
    <row r="273" spans="1:13" ht="16.2" thickBot="1" x14ac:dyDescent="0.35">
      <c r="A273" s="64" t="s">
        <v>133</v>
      </c>
      <c r="B273" s="64">
        <v>110047</v>
      </c>
      <c r="C273" s="35">
        <f t="shared" si="12"/>
        <v>29</v>
      </c>
      <c r="D273" s="35">
        <f t="shared" si="13"/>
        <v>21</v>
      </c>
      <c r="E273" s="15">
        <v>1</v>
      </c>
      <c r="F273" s="65" t="s">
        <v>299</v>
      </c>
      <c r="G273" s="15" t="s">
        <v>300</v>
      </c>
      <c r="H273" s="15">
        <v>29</v>
      </c>
      <c r="I273" s="15">
        <f t="shared" si="14"/>
        <v>21</v>
      </c>
      <c r="J273" s="15">
        <v>21</v>
      </c>
      <c r="K273" s="15">
        <v>0</v>
      </c>
      <c r="L273" s="15" t="s">
        <v>93</v>
      </c>
      <c r="M273" s="15" t="s">
        <v>536</v>
      </c>
    </row>
    <row r="274" spans="1:13" ht="78.599999999999994" thickBot="1" x14ac:dyDescent="0.35">
      <c r="A274" s="64" t="s">
        <v>133</v>
      </c>
      <c r="B274" s="64">
        <v>103009</v>
      </c>
      <c r="C274" s="35">
        <f t="shared" si="12"/>
        <v>2060.5</v>
      </c>
      <c r="D274" s="35">
        <f t="shared" si="13"/>
        <v>2154</v>
      </c>
      <c r="E274" s="15">
        <v>2</v>
      </c>
      <c r="F274" s="65" t="s">
        <v>299</v>
      </c>
      <c r="G274" s="15" t="s">
        <v>300</v>
      </c>
      <c r="H274" s="15">
        <v>4121</v>
      </c>
      <c r="I274" s="15">
        <f t="shared" si="14"/>
        <v>4308</v>
      </c>
      <c r="J274" s="15">
        <v>4308</v>
      </c>
      <c r="K274" s="15">
        <v>0</v>
      </c>
      <c r="L274" s="15" t="s">
        <v>87</v>
      </c>
      <c r="M274" s="15" t="s">
        <v>568</v>
      </c>
    </row>
    <row r="275" spans="1:13" ht="31.8" thickBot="1" x14ac:dyDescent="0.35">
      <c r="A275" s="64" t="s">
        <v>133</v>
      </c>
      <c r="B275" s="64">
        <v>110055</v>
      </c>
      <c r="C275" s="35">
        <f t="shared" si="12"/>
        <v>7</v>
      </c>
      <c r="D275" s="35">
        <f t="shared" si="13"/>
        <v>5</v>
      </c>
      <c r="E275" s="15">
        <v>1</v>
      </c>
      <c r="F275" s="65" t="s">
        <v>299</v>
      </c>
      <c r="G275" s="15" t="s">
        <v>300</v>
      </c>
      <c r="H275" s="15">
        <v>7</v>
      </c>
      <c r="I275" s="15">
        <f t="shared" si="14"/>
        <v>5</v>
      </c>
      <c r="J275" s="15">
        <v>5</v>
      </c>
      <c r="K275" s="15">
        <v>0</v>
      </c>
      <c r="L275" s="15" t="s">
        <v>93</v>
      </c>
      <c r="M275" s="15" t="s">
        <v>569</v>
      </c>
    </row>
    <row r="276" spans="1:13" ht="47.4" thickBot="1" x14ac:dyDescent="0.35">
      <c r="A276" s="64" t="s">
        <v>133</v>
      </c>
      <c r="B276" s="64">
        <v>110052</v>
      </c>
      <c r="C276" s="35">
        <f t="shared" si="12"/>
        <v>3182</v>
      </c>
      <c r="D276" s="35">
        <f t="shared" si="13"/>
        <v>3702</v>
      </c>
      <c r="E276" s="15">
        <v>1</v>
      </c>
      <c r="F276" s="65" t="s">
        <v>299</v>
      </c>
      <c r="G276" s="15" t="s">
        <v>300</v>
      </c>
      <c r="H276" s="15">
        <v>3182</v>
      </c>
      <c r="I276" s="15">
        <f t="shared" si="14"/>
        <v>3702</v>
      </c>
      <c r="J276" s="15">
        <v>3702</v>
      </c>
      <c r="K276" s="15">
        <v>0</v>
      </c>
      <c r="L276" s="15" t="s">
        <v>93</v>
      </c>
      <c r="M276" s="15" t="s">
        <v>570</v>
      </c>
    </row>
    <row r="277" spans="1:13" ht="172.2" thickBot="1" x14ac:dyDescent="0.35">
      <c r="A277" s="64" t="s">
        <v>133</v>
      </c>
      <c r="B277" s="64">
        <v>110011</v>
      </c>
      <c r="C277" s="35">
        <f t="shared" si="12"/>
        <v>2056.1999999999998</v>
      </c>
      <c r="D277" s="35">
        <f t="shared" si="13"/>
        <v>2477.4</v>
      </c>
      <c r="E277" s="15">
        <v>5</v>
      </c>
      <c r="F277" s="65" t="s">
        <v>299</v>
      </c>
      <c r="G277" s="15" t="s">
        <v>300</v>
      </c>
      <c r="H277" s="15">
        <v>10281</v>
      </c>
      <c r="I277" s="15">
        <f t="shared" si="14"/>
        <v>12387</v>
      </c>
      <c r="J277" s="15">
        <v>12387</v>
      </c>
      <c r="K277" s="15">
        <v>0</v>
      </c>
      <c r="L277" s="15" t="s">
        <v>93</v>
      </c>
      <c r="M277" s="15" t="s">
        <v>571</v>
      </c>
    </row>
    <row r="278" spans="1:13" ht="47.4" thickBot="1" x14ac:dyDescent="0.35">
      <c r="A278" s="64" t="s">
        <v>133</v>
      </c>
      <c r="B278" s="64">
        <v>110013</v>
      </c>
      <c r="C278" s="35">
        <f t="shared" si="12"/>
        <v>625</v>
      </c>
      <c r="D278" s="35">
        <f t="shared" si="13"/>
        <v>664</v>
      </c>
      <c r="E278" s="15">
        <v>1</v>
      </c>
      <c r="F278" s="65" t="s">
        <v>299</v>
      </c>
      <c r="G278" s="15" t="s">
        <v>300</v>
      </c>
      <c r="H278" s="15">
        <v>625</v>
      </c>
      <c r="I278" s="15">
        <f t="shared" si="14"/>
        <v>664</v>
      </c>
      <c r="J278" s="15">
        <v>664</v>
      </c>
      <c r="K278" s="15">
        <v>0</v>
      </c>
      <c r="L278" s="15" t="s">
        <v>93</v>
      </c>
      <c r="M278" s="15" t="s">
        <v>572</v>
      </c>
    </row>
    <row r="279" spans="1:13" ht="125.4" thickBot="1" x14ac:dyDescent="0.35">
      <c r="A279" s="64" t="s">
        <v>133</v>
      </c>
      <c r="B279" s="64">
        <v>118021</v>
      </c>
      <c r="C279" s="35">
        <f t="shared" si="12"/>
        <v>2111</v>
      </c>
      <c r="D279" s="35">
        <f t="shared" si="13"/>
        <v>2968.5</v>
      </c>
      <c r="E279" s="15">
        <v>2</v>
      </c>
      <c r="F279" s="65" t="s">
        <v>299</v>
      </c>
      <c r="G279" s="15" t="s">
        <v>300</v>
      </c>
      <c r="H279" s="15">
        <v>4222</v>
      </c>
      <c r="I279" s="15">
        <f t="shared" si="14"/>
        <v>5937</v>
      </c>
      <c r="J279" s="15">
        <v>5937</v>
      </c>
      <c r="K279" s="15">
        <v>0</v>
      </c>
      <c r="L279" s="15" t="s">
        <v>85</v>
      </c>
      <c r="M279" s="15" t="s">
        <v>573</v>
      </c>
    </row>
    <row r="280" spans="1:13" ht="409.6" thickBot="1" x14ac:dyDescent="0.35">
      <c r="A280" s="64" t="s">
        <v>133</v>
      </c>
      <c r="B280" s="64" t="s">
        <v>574</v>
      </c>
      <c r="C280" s="35">
        <f t="shared" si="12"/>
        <v>2708.3846153846152</v>
      </c>
      <c r="D280" s="35">
        <f t="shared" si="13"/>
        <v>3344.5384615384614</v>
      </c>
      <c r="E280" s="15">
        <v>13</v>
      </c>
      <c r="F280" s="65">
        <v>1</v>
      </c>
      <c r="G280" s="15" t="s">
        <v>300</v>
      </c>
      <c r="H280" s="15">
        <v>35209</v>
      </c>
      <c r="I280" s="15">
        <f t="shared" si="14"/>
        <v>43479</v>
      </c>
      <c r="J280" s="15">
        <v>43479</v>
      </c>
      <c r="K280" s="15">
        <v>0</v>
      </c>
      <c r="L280" s="15" t="s">
        <v>94</v>
      </c>
      <c r="M280" s="15" t="s">
        <v>575</v>
      </c>
    </row>
    <row r="281" spans="1:13" ht="409.6" thickBot="1" x14ac:dyDescent="0.35">
      <c r="A281" s="64" t="s">
        <v>133</v>
      </c>
      <c r="B281" s="64" t="s">
        <v>576</v>
      </c>
      <c r="C281" s="35">
        <f t="shared" si="12"/>
        <v>2211</v>
      </c>
      <c r="D281" s="35">
        <f t="shared" si="13"/>
        <v>3270.3333333333335</v>
      </c>
      <c r="E281" s="15">
        <v>6</v>
      </c>
      <c r="F281" s="65">
        <v>1</v>
      </c>
      <c r="G281" s="15" t="s">
        <v>300</v>
      </c>
      <c r="H281" s="15">
        <v>13266</v>
      </c>
      <c r="I281" s="15">
        <f t="shared" si="14"/>
        <v>19622</v>
      </c>
      <c r="J281" s="15">
        <v>19622</v>
      </c>
      <c r="K281" s="15">
        <v>0</v>
      </c>
      <c r="L281" s="15" t="s">
        <v>94</v>
      </c>
      <c r="M281" s="15" t="s">
        <v>577</v>
      </c>
    </row>
    <row r="282" spans="1:13" ht="94.2" thickBot="1" x14ac:dyDescent="0.35">
      <c r="A282" s="64" t="s">
        <v>133</v>
      </c>
      <c r="B282" s="64">
        <v>110014</v>
      </c>
      <c r="C282" s="35">
        <f t="shared" si="12"/>
        <v>10218</v>
      </c>
      <c r="D282" s="35">
        <f t="shared" si="13"/>
        <v>4559</v>
      </c>
      <c r="E282" s="15">
        <v>1</v>
      </c>
      <c r="F282" s="65" t="s">
        <v>299</v>
      </c>
      <c r="G282" s="15" t="s">
        <v>300</v>
      </c>
      <c r="H282" s="15">
        <v>10218</v>
      </c>
      <c r="I282" s="15">
        <f t="shared" si="14"/>
        <v>4559</v>
      </c>
      <c r="J282" s="15">
        <v>4559</v>
      </c>
      <c r="K282" s="15">
        <v>0</v>
      </c>
      <c r="L282" s="15" t="s">
        <v>93</v>
      </c>
      <c r="M282" s="15" t="s">
        <v>578</v>
      </c>
    </row>
    <row r="283" spans="1:13" ht="94.2" thickBot="1" x14ac:dyDescent="0.35">
      <c r="A283" s="64" t="s">
        <v>133</v>
      </c>
      <c r="B283" s="64">
        <v>117031</v>
      </c>
      <c r="C283" s="35">
        <f t="shared" si="12"/>
        <v>2465.6666666666665</v>
      </c>
      <c r="D283" s="35">
        <f t="shared" si="13"/>
        <v>2654.6666666666665</v>
      </c>
      <c r="E283" s="15">
        <v>3</v>
      </c>
      <c r="F283" s="65" t="s">
        <v>299</v>
      </c>
      <c r="G283" s="15" t="s">
        <v>300</v>
      </c>
      <c r="H283" s="15">
        <v>7397</v>
      </c>
      <c r="I283" s="15">
        <f t="shared" si="14"/>
        <v>7964</v>
      </c>
      <c r="J283" s="15">
        <v>7964</v>
      </c>
      <c r="K283" s="15">
        <v>0</v>
      </c>
      <c r="L283" s="15" t="s">
        <v>99</v>
      </c>
      <c r="M283" s="15" t="s">
        <v>579</v>
      </c>
    </row>
    <row r="284" spans="1:13" ht="31.8" thickBot="1" x14ac:dyDescent="0.35">
      <c r="A284" s="64" t="s">
        <v>133</v>
      </c>
      <c r="B284" s="64">
        <v>112069</v>
      </c>
      <c r="C284" s="35">
        <f t="shared" si="12"/>
        <v>14</v>
      </c>
      <c r="D284" s="35">
        <f t="shared" si="13"/>
        <v>11</v>
      </c>
      <c r="E284" s="15">
        <v>1</v>
      </c>
      <c r="F284" s="65" t="s">
        <v>299</v>
      </c>
      <c r="G284" s="15" t="s">
        <v>300</v>
      </c>
      <c r="H284" s="15">
        <v>14</v>
      </c>
      <c r="I284" s="15">
        <f t="shared" si="14"/>
        <v>11</v>
      </c>
      <c r="J284" s="15">
        <v>11</v>
      </c>
      <c r="K284" s="15">
        <v>0</v>
      </c>
      <c r="L284" s="15" t="s">
        <v>95</v>
      </c>
      <c r="M284" s="15" t="s">
        <v>580</v>
      </c>
    </row>
    <row r="285" spans="1:13" ht="409.6" thickBot="1" x14ac:dyDescent="0.35">
      <c r="A285" s="64" t="s">
        <v>133</v>
      </c>
      <c r="B285" s="64">
        <v>111010</v>
      </c>
      <c r="C285" s="35">
        <f t="shared" si="12"/>
        <v>1319.3559322033898</v>
      </c>
      <c r="D285" s="35">
        <f t="shared" si="13"/>
        <v>1864.3559322033898</v>
      </c>
      <c r="E285" s="15">
        <v>59</v>
      </c>
      <c r="F285" s="65">
        <v>1</v>
      </c>
      <c r="G285" s="15" t="s">
        <v>300</v>
      </c>
      <c r="H285" s="15">
        <v>77842</v>
      </c>
      <c r="I285" s="15">
        <f t="shared" si="14"/>
        <v>109997</v>
      </c>
      <c r="J285" s="15">
        <v>109997</v>
      </c>
      <c r="K285" s="15">
        <v>0</v>
      </c>
      <c r="L285" s="15" t="s">
        <v>94</v>
      </c>
      <c r="M285" s="15" t="s">
        <v>581</v>
      </c>
    </row>
    <row r="286" spans="1:13" ht="219" thickBot="1" x14ac:dyDescent="0.35">
      <c r="A286" s="64" t="s">
        <v>133</v>
      </c>
      <c r="B286" s="64">
        <v>104016</v>
      </c>
      <c r="C286" s="35">
        <f t="shared" si="12"/>
        <v>8410.5</v>
      </c>
      <c r="D286" s="35">
        <f t="shared" si="13"/>
        <v>9984.5</v>
      </c>
      <c r="E286" s="15">
        <v>2</v>
      </c>
      <c r="F286" s="65" t="s">
        <v>299</v>
      </c>
      <c r="G286" s="15" t="s">
        <v>300</v>
      </c>
      <c r="H286" s="15">
        <v>16821</v>
      </c>
      <c r="I286" s="15">
        <f t="shared" si="14"/>
        <v>19969</v>
      </c>
      <c r="J286" s="15">
        <v>19969</v>
      </c>
      <c r="K286" s="15">
        <v>0</v>
      </c>
      <c r="L286" s="15" t="s">
        <v>100</v>
      </c>
      <c r="M286" s="15" t="s">
        <v>582</v>
      </c>
    </row>
    <row r="287" spans="1:13" ht="63" thickBot="1" x14ac:dyDescent="0.35">
      <c r="A287" s="64" t="s">
        <v>133</v>
      </c>
      <c r="B287" s="64">
        <v>103019</v>
      </c>
      <c r="C287" s="35">
        <f t="shared" si="12"/>
        <v>22</v>
      </c>
      <c r="D287" s="35">
        <f t="shared" si="13"/>
        <v>20.5</v>
      </c>
      <c r="E287" s="15">
        <v>2</v>
      </c>
      <c r="F287" s="65" t="s">
        <v>299</v>
      </c>
      <c r="G287" s="15" t="s">
        <v>300</v>
      </c>
      <c r="H287" s="15">
        <v>44</v>
      </c>
      <c r="I287" s="15">
        <f t="shared" si="14"/>
        <v>41</v>
      </c>
      <c r="J287" s="15">
        <v>41</v>
      </c>
      <c r="K287" s="15">
        <v>0</v>
      </c>
      <c r="L287" s="15" t="s">
        <v>87</v>
      </c>
      <c r="M287" s="15" t="s">
        <v>583</v>
      </c>
    </row>
    <row r="288" spans="1:13" ht="16.2" thickBot="1" x14ac:dyDescent="0.35">
      <c r="A288" s="64" t="s">
        <v>133</v>
      </c>
      <c r="B288" s="64">
        <v>107015</v>
      </c>
      <c r="C288" s="35">
        <f t="shared" si="12"/>
        <v>7</v>
      </c>
      <c r="D288" s="35">
        <f t="shared" si="13"/>
        <v>7</v>
      </c>
      <c r="E288" s="15">
        <v>1</v>
      </c>
      <c r="F288" s="65" t="s">
        <v>299</v>
      </c>
      <c r="G288" s="15" t="s">
        <v>300</v>
      </c>
      <c r="H288" s="15">
        <v>7</v>
      </c>
      <c r="I288" s="15">
        <f t="shared" si="14"/>
        <v>7</v>
      </c>
      <c r="J288" s="15">
        <v>7</v>
      </c>
      <c r="K288" s="15">
        <v>0</v>
      </c>
      <c r="L288" s="15" t="s">
        <v>91</v>
      </c>
      <c r="M288" s="15" t="s">
        <v>584</v>
      </c>
    </row>
    <row r="289" spans="1:13" ht="16.2" thickBot="1" x14ac:dyDescent="0.35">
      <c r="A289" s="64" t="s">
        <v>133</v>
      </c>
      <c r="B289" s="64">
        <v>107019</v>
      </c>
      <c r="C289" s="35">
        <f t="shared" si="12"/>
        <v>12</v>
      </c>
      <c r="D289" s="35">
        <f t="shared" si="13"/>
        <v>11</v>
      </c>
      <c r="E289" s="15">
        <v>1</v>
      </c>
      <c r="F289" s="65" t="s">
        <v>299</v>
      </c>
      <c r="G289" s="15" t="s">
        <v>300</v>
      </c>
      <c r="H289" s="15">
        <v>12</v>
      </c>
      <c r="I289" s="15">
        <f t="shared" si="14"/>
        <v>11</v>
      </c>
      <c r="J289" s="15">
        <v>11</v>
      </c>
      <c r="K289" s="15">
        <v>0</v>
      </c>
      <c r="L289" s="15" t="s">
        <v>91</v>
      </c>
      <c r="M289" s="15" t="s">
        <v>585</v>
      </c>
    </row>
    <row r="290" spans="1:13" ht="409.6" thickBot="1" x14ac:dyDescent="0.35">
      <c r="A290" s="64" t="s">
        <v>133</v>
      </c>
      <c r="B290" s="64">
        <v>107002</v>
      </c>
      <c r="C290" s="35">
        <f t="shared" si="12"/>
        <v>3093.5</v>
      </c>
      <c r="D290" s="35">
        <f t="shared" si="13"/>
        <v>3799.1875</v>
      </c>
      <c r="E290" s="15">
        <v>16</v>
      </c>
      <c r="F290" s="65">
        <v>1</v>
      </c>
      <c r="G290" s="15" t="s">
        <v>300</v>
      </c>
      <c r="H290" s="15">
        <v>49496</v>
      </c>
      <c r="I290" s="15">
        <f t="shared" si="14"/>
        <v>60787</v>
      </c>
      <c r="J290" s="15">
        <v>60787</v>
      </c>
      <c r="K290" s="15">
        <v>0</v>
      </c>
      <c r="L290" s="15" t="s">
        <v>91</v>
      </c>
      <c r="M290" s="15" t="s">
        <v>586</v>
      </c>
    </row>
    <row r="291" spans="1:13" ht="16.2" thickBot="1" x14ac:dyDescent="0.35">
      <c r="A291" s="64" t="s">
        <v>133</v>
      </c>
      <c r="B291" s="64">
        <v>114018</v>
      </c>
      <c r="C291" s="35">
        <f t="shared" si="12"/>
        <v>4204</v>
      </c>
      <c r="D291" s="35">
        <f t="shared" si="13"/>
        <v>3515</v>
      </c>
      <c r="E291" s="15">
        <v>1</v>
      </c>
      <c r="F291" s="65" t="s">
        <v>299</v>
      </c>
      <c r="G291" s="15" t="s">
        <v>300</v>
      </c>
      <c r="H291" s="15">
        <v>4204</v>
      </c>
      <c r="I291" s="15">
        <f t="shared" si="14"/>
        <v>3515</v>
      </c>
      <c r="J291" s="15">
        <v>3515</v>
      </c>
      <c r="K291" s="15">
        <v>0</v>
      </c>
      <c r="L291" s="15" t="s">
        <v>96</v>
      </c>
      <c r="M291" s="15" t="s">
        <v>587</v>
      </c>
    </row>
    <row r="292" spans="1:13" ht="16.2" thickBot="1" x14ac:dyDescent="0.35">
      <c r="A292" s="64" t="s">
        <v>133</v>
      </c>
      <c r="B292" s="64">
        <v>104017</v>
      </c>
      <c r="C292" s="35">
        <f t="shared" si="12"/>
        <v>355</v>
      </c>
      <c r="D292" s="35">
        <f t="shared" si="13"/>
        <v>542.5</v>
      </c>
      <c r="E292" s="15">
        <v>2</v>
      </c>
      <c r="F292" s="65">
        <v>1</v>
      </c>
      <c r="G292" s="15" t="s">
        <v>300</v>
      </c>
      <c r="H292" s="15">
        <v>710</v>
      </c>
      <c r="I292" s="15">
        <f t="shared" si="14"/>
        <v>1085</v>
      </c>
      <c r="J292" s="15">
        <v>1085</v>
      </c>
      <c r="K292" s="15">
        <v>0</v>
      </c>
      <c r="L292" s="15" t="s">
        <v>100</v>
      </c>
      <c r="M292" s="15" t="s">
        <v>588</v>
      </c>
    </row>
    <row r="293" spans="1:13" ht="31.8" thickBot="1" x14ac:dyDescent="0.35">
      <c r="A293" s="64" t="s">
        <v>133</v>
      </c>
      <c r="B293" s="64">
        <v>118026</v>
      </c>
      <c r="C293" s="35">
        <f t="shared" si="12"/>
        <v>200</v>
      </c>
      <c r="D293" s="35">
        <f t="shared" si="13"/>
        <v>187</v>
      </c>
      <c r="E293" s="15">
        <v>1</v>
      </c>
      <c r="F293" s="65" t="s">
        <v>299</v>
      </c>
      <c r="G293" s="15" t="s">
        <v>300</v>
      </c>
      <c r="H293" s="15">
        <v>200</v>
      </c>
      <c r="I293" s="15">
        <f t="shared" si="14"/>
        <v>187</v>
      </c>
      <c r="J293" s="15">
        <v>187</v>
      </c>
      <c r="K293" s="15">
        <v>0</v>
      </c>
      <c r="L293" s="15" t="s">
        <v>85</v>
      </c>
      <c r="M293" s="15" t="s">
        <v>589</v>
      </c>
    </row>
    <row r="294" spans="1:13" ht="47.4" thickBot="1" x14ac:dyDescent="0.35">
      <c r="A294" s="64" t="s">
        <v>133</v>
      </c>
      <c r="B294" s="64">
        <v>113014</v>
      </c>
      <c r="C294" s="35">
        <f t="shared" si="12"/>
        <v>179.66666666666666</v>
      </c>
      <c r="D294" s="35">
        <f t="shared" si="13"/>
        <v>378</v>
      </c>
      <c r="E294" s="15">
        <v>3</v>
      </c>
      <c r="F294" s="65" t="s">
        <v>299</v>
      </c>
      <c r="G294" s="15" t="s">
        <v>300</v>
      </c>
      <c r="H294" s="15">
        <v>539</v>
      </c>
      <c r="I294" s="15">
        <f t="shared" si="14"/>
        <v>1134</v>
      </c>
      <c r="J294" s="15">
        <v>1134</v>
      </c>
      <c r="K294" s="15">
        <v>0</v>
      </c>
      <c r="L294" s="15" t="s">
        <v>101</v>
      </c>
      <c r="M294" s="15" t="s">
        <v>590</v>
      </c>
    </row>
    <row r="295" spans="1:13" ht="16.2" thickBot="1" x14ac:dyDescent="0.35">
      <c r="A295" s="64" t="s">
        <v>133</v>
      </c>
      <c r="B295" s="64">
        <v>112067</v>
      </c>
      <c r="C295" s="35">
        <f t="shared" si="12"/>
        <v>156</v>
      </c>
      <c r="D295" s="35">
        <f t="shared" si="13"/>
        <v>152</v>
      </c>
      <c r="E295" s="15">
        <v>1</v>
      </c>
      <c r="F295" s="65" t="s">
        <v>299</v>
      </c>
      <c r="G295" s="15" t="s">
        <v>300</v>
      </c>
      <c r="H295" s="15">
        <v>156</v>
      </c>
      <c r="I295" s="15">
        <f t="shared" si="14"/>
        <v>152</v>
      </c>
      <c r="J295" s="15">
        <v>152</v>
      </c>
      <c r="K295" s="15">
        <v>0</v>
      </c>
      <c r="L295" s="15" t="s">
        <v>95</v>
      </c>
      <c r="M295" s="15" t="s">
        <v>497</v>
      </c>
    </row>
    <row r="296" spans="1:13" ht="16.2" thickBot="1" x14ac:dyDescent="0.35">
      <c r="A296" s="64" t="s">
        <v>133</v>
      </c>
      <c r="B296" s="64">
        <v>112099</v>
      </c>
      <c r="C296" s="35">
        <f t="shared" si="12"/>
        <v>35</v>
      </c>
      <c r="D296" s="35">
        <f t="shared" si="13"/>
        <v>31</v>
      </c>
      <c r="E296" s="15">
        <v>1</v>
      </c>
      <c r="F296" s="65" t="s">
        <v>299</v>
      </c>
      <c r="G296" s="15" t="s">
        <v>300</v>
      </c>
      <c r="H296" s="15">
        <v>35</v>
      </c>
      <c r="I296" s="15">
        <f t="shared" si="14"/>
        <v>31</v>
      </c>
      <c r="J296" s="15">
        <v>31</v>
      </c>
      <c r="K296" s="15">
        <v>0</v>
      </c>
      <c r="L296" s="15" t="s">
        <v>591</v>
      </c>
      <c r="M296" s="15" t="s">
        <v>536</v>
      </c>
    </row>
    <row r="297" spans="1:13" ht="16.2" thickBot="1" x14ac:dyDescent="0.35">
      <c r="A297" s="64" t="s">
        <v>133</v>
      </c>
      <c r="B297" s="64">
        <v>110078</v>
      </c>
      <c r="C297" s="35">
        <f t="shared" si="12"/>
        <v>182</v>
      </c>
      <c r="D297" s="35">
        <f t="shared" si="13"/>
        <v>179</v>
      </c>
      <c r="E297" s="15">
        <v>1</v>
      </c>
      <c r="F297" s="65" t="s">
        <v>299</v>
      </c>
      <c r="G297" s="15" t="s">
        <v>300</v>
      </c>
      <c r="H297" s="15">
        <v>182</v>
      </c>
      <c r="I297" s="15">
        <f t="shared" si="14"/>
        <v>179</v>
      </c>
      <c r="J297" s="15">
        <v>179</v>
      </c>
      <c r="K297" s="15">
        <v>0</v>
      </c>
      <c r="L297" s="15" t="s">
        <v>93</v>
      </c>
      <c r="M297" s="15" t="s">
        <v>592</v>
      </c>
    </row>
    <row r="298" spans="1:13" ht="16.2" thickBot="1" x14ac:dyDescent="0.35">
      <c r="A298" s="64" t="s">
        <v>133</v>
      </c>
      <c r="B298" s="64">
        <v>110074</v>
      </c>
      <c r="C298" s="35">
        <f t="shared" si="12"/>
        <v>149</v>
      </c>
      <c r="D298" s="35">
        <f t="shared" si="13"/>
        <v>186</v>
      </c>
      <c r="E298" s="15">
        <v>1</v>
      </c>
      <c r="F298" s="65" t="s">
        <v>299</v>
      </c>
      <c r="G298" s="15" t="s">
        <v>300</v>
      </c>
      <c r="H298" s="15">
        <v>149</v>
      </c>
      <c r="I298" s="15">
        <f t="shared" si="14"/>
        <v>186</v>
      </c>
      <c r="J298" s="15">
        <v>186</v>
      </c>
      <c r="K298" s="15">
        <v>0</v>
      </c>
      <c r="L298" s="15" t="s">
        <v>93</v>
      </c>
      <c r="M298" s="15" t="s">
        <v>593</v>
      </c>
    </row>
    <row r="299" spans="1:13" ht="16.2" thickBot="1" x14ac:dyDescent="0.35">
      <c r="A299" s="64" t="s">
        <v>133</v>
      </c>
      <c r="B299" s="64">
        <v>110073</v>
      </c>
      <c r="C299" s="35">
        <f t="shared" si="12"/>
        <v>157</v>
      </c>
      <c r="D299" s="35">
        <f t="shared" si="13"/>
        <v>147</v>
      </c>
      <c r="E299" s="15">
        <v>1</v>
      </c>
      <c r="F299" s="65" t="s">
        <v>299</v>
      </c>
      <c r="G299" s="15" t="s">
        <v>300</v>
      </c>
      <c r="H299" s="15">
        <v>157</v>
      </c>
      <c r="I299" s="15">
        <f t="shared" si="14"/>
        <v>147</v>
      </c>
      <c r="J299" s="15">
        <v>147</v>
      </c>
      <c r="K299" s="15">
        <v>0</v>
      </c>
      <c r="L299" s="15" t="s">
        <v>93</v>
      </c>
      <c r="M299" s="15" t="s">
        <v>593</v>
      </c>
    </row>
    <row r="300" spans="1:13" ht="31.8" thickBot="1" x14ac:dyDescent="0.35">
      <c r="A300" s="64" t="s">
        <v>133</v>
      </c>
      <c r="B300" s="64">
        <v>110072</v>
      </c>
      <c r="C300" s="35">
        <f t="shared" si="12"/>
        <v>308</v>
      </c>
      <c r="D300" s="35">
        <f t="shared" si="13"/>
        <v>294</v>
      </c>
      <c r="E300" s="15">
        <v>1</v>
      </c>
      <c r="F300" s="65" t="s">
        <v>299</v>
      </c>
      <c r="G300" s="15" t="s">
        <v>300</v>
      </c>
      <c r="H300" s="15">
        <v>308</v>
      </c>
      <c r="I300" s="15">
        <f t="shared" si="14"/>
        <v>294</v>
      </c>
      <c r="J300" s="15">
        <v>294</v>
      </c>
      <c r="K300" s="15">
        <v>0</v>
      </c>
      <c r="L300" s="15" t="s">
        <v>93</v>
      </c>
      <c r="M300" s="15" t="s">
        <v>594</v>
      </c>
    </row>
    <row r="301" spans="1:13" ht="31.8" thickBot="1" x14ac:dyDescent="0.35">
      <c r="A301" s="64" t="s">
        <v>133</v>
      </c>
      <c r="B301" s="64">
        <v>110448</v>
      </c>
      <c r="C301" s="35">
        <f t="shared" si="12"/>
        <v>1752</v>
      </c>
      <c r="D301" s="35">
        <f t="shared" si="13"/>
        <v>1857</v>
      </c>
      <c r="E301" s="15">
        <v>1</v>
      </c>
      <c r="F301" s="65" t="s">
        <v>299</v>
      </c>
      <c r="G301" s="15" t="s">
        <v>300</v>
      </c>
      <c r="H301" s="15">
        <v>1752</v>
      </c>
      <c r="I301" s="15">
        <f t="shared" si="14"/>
        <v>1857</v>
      </c>
      <c r="J301" s="15">
        <v>1857</v>
      </c>
      <c r="K301" s="15">
        <v>0</v>
      </c>
      <c r="L301" s="15" t="s">
        <v>93</v>
      </c>
      <c r="M301" s="15" t="s">
        <v>595</v>
      </c>
    </row>
    <row r="302" spans="1:13" ht="16.2" thickBot="1" x14ac:dyDescent="0.35">
      <c r="A302" s="64" t="s">
        <v>133</v>
      </c>
      <c r="B302" s="64">
        <v>110080</v>
      </c>
      <c r="C302" s="35">
        <f t="shared" si="12"/>
        <v>9</v>
      </c>
      <c r="D302" s="35">
        <f t="shared" si="13"/>
        <v>9</v>
      </c>
      <c r="E302" s="15">
        <v>1</v>
      </c>
      <c r="F302" s="65" t="s">
        <v>299</v>
      </c>
      <c r="G302" s="15" t="s">
        <v>300</v>
      </c>
      <c r="H302" s="15">
        <v>9</v>
      </c>
      <c r="I302" s="15">
        <f t="shared" si="14"/>
        <v>9</v>
      </c>
      <c r="J302" s="15">
        <v>9</v>
      </c>
      <c r="K302" s="15">
        <v>0</v>
      </c>
      <c r="L302" s="15" t="s">
        <v>93</v>
      </c>
      <c r="M302" s="15" t="s">
        <v>596</v>
      </c>
    </row>
    <row r="303" spans="1:13" ht="31.8" thickBot="1" x14ac:dyDescent="0.35">
      <c r="A303" s="64" t="s">
        <v>133</v>
      </c>
      <c r="B303" s="64">
        <v>114081</v>
      </c>
      <c r="C303" s="35">
        <f t="shared" si="12"/>
        <v>703.5</v>
      </c>
      <c r="D303" s="35">
        <f t="shared" si="13"/>
        <v>642</v>
      </c>
      <c r="E303" s="15">
        <v>2</v>
      </c>
      <c r="F303" s="65" t="s">
        <v>299</v>
      </c>
      <c r="G303" s="15" t="s">
        <v>300</v>
      </c>
      <c r="H303" s="15">
        <v>1407</v>
      </c>
      <c r="I303" s="15">
        <f t="shared" si="14"/>
        <v>1284</v>
      </c>
      <c r="J303" s="15">
        <v>1284</v>
      </c>
      <c r="K303" s="15">
        <v>0</v>
      </c>
      <c r="L303" s="15" t="s">
        <v>96</v>
      </c>
      <c r="M303" s="15" t="s">
        <v>597</v>
      </c>
    </row>
    <row r="304" spans="1:13" ht="16.2" thickBot="1" x14ac:dyDescent="0.35">
      <c r="A304" s="64" t="s">
        <v>133</v>
      </c>
      <c r="B304" s="64">
        <v>110069</v>
      </c>
      <c r="C304" s="35">
        <f t="shared" si="12"/>
        <v>224</v>
      </c>
      <c r="D304" s="35">
        <f t="shared" si="13"/>
        <v>208</v>
      </c>
      <c r="E304" s="15">
        <v>1</v>
      </c>
      <c r="F304" s="65" t="s">
        <v>299</v>
      </c>
      <c r="G304" s="15" t="s">
        <v>300</v>
      </c>
      <c r="H304" s="15">
        <v>224</v>
      </c>
      <c r="I304" s="15">
        <f t="shared" si="14"/>
        <v>208</v>
      </c>
      <c r="J304" s="15">
        <v>208</v>
      </c>
      <c r="K304" s="15">
        <v>0</v>
      </c>
      <c r="L304" s="15" t="s">
        <v>93</v>
      </c>
      <c r="M304" s="15" t="s">
        <v>598</v>
      </c>
    </row>
    <row r="305" spans="1:13" ht="31.8" thickBot="1" x14ac:dyDescent="0.35">
      <c r="A305" s="64" t="s">
        <v>133</v>
      </c>
      <c r="B305" s="64">
        <v>114071</v>
      </c>
      <c r="C305" s="35">
        <f t="shared" si="12"/>
        <v>219</v>
      </c>
      <c r="D305" s="35">
        <f t="shared" si="13"/>
        <v>224</v>
      </c>
      <c r="E305" s="15">
        <v>1</v>
      </c>
      <c r="F305" s="65" t="s">
        <v>299</v>
      </c>
      <c r="G305" s="15" t="s">
        <v>300</v>
      </c>
      <c r="H305" s="15">
        <v>219</v>
      </c>
      <c r="I305" s="15">
        <f t="shared" si="14"/>
        <v>224</v>
      </c>
      <c r="J305" s="15">
        <v>224</v>
      </c>
      <c r="K305" s="15">
        <v>0</v>
      </c>
      <c r="L305" s="15" t="s">
        <v>96</v>
      </c>
      <c r="M305" s="15" t="s">
        <v>599</v>
      </c>
    </row>
    <row r="306" spans="1:13" ht="16.2" thickBot="1" x14ac:dyDescent="0.35">
      <c r="A306" s="64" t="s">
        <v>133</v>
      </c>
      <c r="B306" s="64">
        <v>110030</v>
      </c>
      <c r="C306" s="35">
        <f t="shared" si="12"/>
        <v>106</v>
      </c>
      <c r="D306" s="35">
        <f t="shared" si="13"/>
        <v>127</v>
      </c>
      <c r="E306" s="15">
        <v>1</v>
      </c>
      <c r="F306" s="65" t="s">
        <v>299</v>
      </c>
      <c r="G306" s="15" t="s">
        <v>300</v>
      </c>
      <c r="H306" s="15">
        <v>106</v>
      </c>
      <c r="I306" s="15">
        <f t="shared" si="14"/>
        <v>127</v>
      </c>
      <c r="J306" s="15">
        <v>127</v>
      </c>
      <c r="K306" s="15">
        <v>0</v>
      </c>
      <c r="L306" s="15" t="s">
        <v>93</v>
      </c>
      <c r="M306" s="15" t="s">
        <v>600</v>
      </c>
    </row>
    <row r="307" spans="1:13" ht="47.4" thickBot="1" x14ac:dyDescent="0.35">
      <c r="A307" s="64" t="s">
        <v>133</v>
      </c>
      <c r="B307" s="64">
        <v>117040</v>
      </c>
      <c r="C307" s="35">
        <f t="shared" si="12"/>
        <v>42</v>
      </c>
      <c r="D307" s="35">
        <f t="shared" si="13"/>
        <v>80</v>
      </c>
      <c r="E307" s="15">
        <v>1</v>
      </c>
      <c r="F307" s="65" t="s">
        <v>299</v>
      </c>
      <c r="G307" s="15" t="s">
        <v>300</v>
      </c>
      <c r="H307" s="15">
        <v>42</v>
      </c>
      <c r="I307" s="15">
        <f t="shared" si="14"/>
        <v>80</v>
      </c>
      <c r="J307" s="15">
        <v>80</v>
      </c>
      <c r="K307" s="15">
        <v>0</v>
      </c>
      <c r="L307" s="15" t="s">
        <v>99</v>
      </c>
      <c r="M307" s="15" t="s">
        <v>601</v>
      </c>
    </row>
    <row r="308" spans="1:13" ht="16.2" thickBot="1" x14ac:dyDescent="0.35">
      <c r="A308" s="64" t="s">
        <v>133</v>
      </c>
      <c r="B308" s="64">
        <v>104037</v>
      </c>
      <c r="C308" s="35">
        <f t="shared" si="12"/>
        <v>22</v>
      </c>
      <c r="D308" s="35">
        <f t="shared" si="13"/>
        <v>14</v>
      </c>
      <c r="E308" s="15">
        <v>1</v>
      </c>
      <c r="F308" s="65" t="s">
        <v>299</v>
      </c>
      <c r="G308" s="15" t="s">
        <v>300</v>
      </c>
      <c r="H308" s="15">
        <v>22</v>
      </c>
      <c r="I308" s="15">
        <f t="shared" si="14"/>
        <v>14</v>
      </c>
      <c r="J308" s="15">
        <v>14</v>
      </c>
      <c r="K308" s="15">
        <v>0</v>
      </c>
      <c r="L308" s="15" t="s">
        <v>100</v>
      </c>
      <c r="M308" s="15" t="s">
        <v>602</v>
      </c>
    </row>
    <row r="309" spans="1:13" ht="47.4" thickBot="1" x14ac:dyDescent="0.35">
      <c r="A309" s="64" t="s">
        <v>133</v>
      </c>
      <c r="B309" s="64">
        <v>104038</v>
      </c>
      <c r="C309" s="35">
        <f t="shared" si="12"/>
        <v>33</v>
      </c>
      <c r="D309" s="35">
        <f t="shared" si="13"/>
        <v>16</v>
      </c>
      <c r="E309" s="15">
        <v>1</v>
      </c>
      <c r="F309" s="65" t="s">
        <v>299</v>
      </c>
      <c r="G309" s="15" t="s">
        <v>300</v>
      </c>
      <c r="H309" s="15">
        <v>33</v>
      </c>
      <c r="I309" s="15">
        <f t="shared" si="14"/>
        <v>16</v>
      </c>
      <c r="J309" s="15">
        <v>16</v>
      </c>
      <c r="K309" s="15">
        <v>0</v>
      </c>
      <c r="L309" s="15" t="s">
        <v>100</v>
      </c>
      <c r="M309" s="15" t="s">
        <v>603</v>
      </c>
    </row>
    <row r="310" spans="1:13" ht="16.2" thickBot="1" x14ac:dyDescent="0.35">
      <c r="A310" s="64" t="s">
        <v>133</v>
      </c>
      <c r="B310" s="64">
        <v>104047</v>
      </c>
      <c r="C310" s="35">
        <f t="shared" si="12"/>
        <v>22</v>
      </c>
      <c r="D310" s="35">
        <f t="shared" si="13"/>
        <v>22</v>
      </c>
      <c r="E310" s="15">
        <v>1</v>
      </c>
      <c r="F310" s="65" t="s">
        <v>299</v>
      </c>
      <c r="G310" s="15" t="s">
        <v>300</v>
      </c>
      <c r="H310" s="15">
        <v>22</v>
      </c>
      <c r="I310" s="15">
        <f t="shared" si="14"/>
        <v>22</v>
      </c>
      <c r="J310" s="15">
        <v>22</v>
      </c>
      <c r="K310" s="15">
        <v>0</v>
      </c>
      <c r="L310" s="15" t="s">
        <v>100</v>
      </c>
      <c r="M310" s="15" t="s">
        <v>604</v>
      </c>
    </row>
    <row r="311" spans="1:13" ht="31.8" thickBot="1" x14ac:dyDescent="0.35">
      <c r="A311" s="64" t="s">
        <v>133</v>
      </c>
      <c r="B311" s="64">
        <v>110016</v>
      </c>
      <c r="C311" s="35">
        <f t="shared" si="12"/>
        <v>1394</v>
      </c>
      <c r="D311" s="35">
        <f t="shared" si="13"/>
        <v>1595</v>
      </c>
      <c r="E311" s="15">
        <v>1</v>
      </c>
      <c r="F311" s="65" t="s">
        <v>299</v>
      </c>
      <c r="G311" s="15" t="s">
        <v>300</v>
      </c>
      <c r="H311" s="15">
        <v>1394</v>
      </c>
      <c r="I311" s="15">
        <f t="shared" si="14"/>
        <v>1595</v>
      </c>
      <c r="J311" s="15">
        <v>1595</v>
      </c>
      <c r="K311" s="15">
        <v>0</v>
      </c>
      <c r="L311" s="15" t="s">
        <v>93</v>
      </c>
      <c r="M311" s="15" t="s">
        <v>605</v>
      </c>
    </row>
    <row r="312" spans="1:13" ht="125.4" thickBot="1" x14ac:dyDescent="0.35">
      <c r="A312" s="64" t="s">
        <v>133</v>
      </c>
      <c r="B312" s="64">
        <v>110002</v>
      </c>
      <c r="C312" s="35">
        <f t="shared" si="12"/>
        <v>2551.5</v>
      </c>
      <c r="D312" s="35">
        <f t="shared" si="13"/>
        <v>3352.5</v>
      </c>
      <c r="E312" s="15">
        <v>2</v>
      </c>
      <c r="F312" s="65" t="s">
        <v>299</v>
      </c>
      <c r="G312" s="15" t="s">
        <v>300</v>
      </c>
      <c r="H312" s="15">
        <v>5103</v>
      </c>
      <c r="I312" s="15">
        <f t="shared" si="14"/>
        <v>6705</v>
      </c>
      <c r="J312" s="15">
        <v>6705</v>
      </c>
      <c r="K312" s="15">
        <v>0</v>
      </c>
      <c r="L312" s="15" t="s">
        <v>93</v>
      </c>
      <c r="M312" s="15" t="s">
        <v>606</v>
      </c>
    </row>
    <row r="313" spans="1:13" ht="409.6" thickBot="1" x14ac:dyDescent="0.35">
      <c r="A313" s="64" t="s">
        <v>133</v>
      </c>
      <c r="B313" s="64">
        <v>110012</v>
      </c>
      <c r="C313" s="35">
        <f t="shared" si="12"/>
        <v>3133.5555555555557</v>
      </c>
      <c r="D313" s="35">
        <f t="shared" si="13"/>
        <v>3718.7777777777778</v>
      </c>
      <c r="E313" s="15">
        <v>9</v>
      </c>
      <c r="F313" s="65" t="s">
        <v>299</v>
      </c>
      <c r="G313" s="15" t="s">
        <v>300</v>
      </c>
      <c r="H313" s="15">
        <v>28202</v>
      </c>
      <c r="I313" s="15">
        <f t="shared" si="14"/>
        <v>33469</v>
      </c>
      <c r="J313" s="15">
        <v>33469</v>
      </c>
      <c r="K313" s="15">
        <v>0</v>
      </c>
      <c r="L313" s="15" t="s">
        <v>93</v>
      </c>
      <c r="M313" s="15" t="s">
        <v>607</v>
      </c>
    </row>
    <row r="314" spans="1:13" ht="409.6" thickBot="1" x14ac:dyDescent="0.35">
      <c r="A314" s="64" t="s">
        <v>133</v>
      </c>
      <c r="B314" s="64">
        <v>104019</v>
      </c>
      <c r="C314" s="35">
        <f t="shared" si="12"/>
        <v>5556</v>
      </c>
      <c r="D314" s="35">
        <f t="shared" si="13"/>
        <v>7711.5714285714284</v>
      </c>
      <c r="E314" s="15">
        <v>7</v>
      </c>
      <c r="F314" s="65" t="s">
        <v>299</v>
      </c>
      <c r="G314" s="15" t="s">
        <v>300</v>
      </c>
      <c r="H314" s="15">
        <v>38892</v>
      </c>
      <c r="I314" s="15">
        <f t="shared" si="14"/>
        <v>53981</v>
      </c>
      <c r="J314" s="15">
        <v>53981</v>
      </c>
      <c r="K314" s="15">
        <v>0</v>
      </c>
      <c r="L314" s="15" t="s">
        <v>100</v>
      </c>
      <c r="M314" s="15" t="s">
        <v>608</v>
      </c>
    </row>
    <row r="315" spans="1:13" ht="31.8" thickBot="1" x14ac:dyDescent="0.35">
      <c r="A315" s="64" t="s">
        <v>133</v>
      </c>
      <c r="B315" s="64">
        <v>104030</v>
      </c>
      <c r="C315" s="35">
        <f t="shared" si="12"/>
        <v>47</v>
      </c>
      <c r="D315" s="35">
        <f t="shared" si="13"/>
        <v>73</v>
      </c>
      <c r="E315" s="15">
        <v>1</v>
      </c>
      <c r="F315" s="65" t="s">
        <v>299</v>
      </c>
      <c r="G315" s="15" t="s">
        <v>300</v>
      </c>
      <c r="H315" s="15">
        <v>47</v>
      </c>
      <c r="I315" s="15">
        <f t="shared" si="14"/>
        <v>73</v>
      </c>
      <c r="J315" s="15">
        <v>73</v>
      </c>
      <c r="K315" s="15">
        <v>0</v>
      </c>
      <c r="L315" s="15" t="s">
        <v>100</v>
      </c>
      <c r="M315" s="15" t="s">
        <v>609</v>
      </c>
    </row>
    <row r="316" spans="1:13" ht="47.4" thickBot="1" x14ac:dyDescent="0.35">
      <c r="A316" s="64" t="s">
        <v>133</v>
      </c>
      <c r="B316" s="64">
        <v>104020</v>
      </c>
      <c r="C316" s="35">
        <f t="shared" si="12"/>
        <v>245.33333333333334</v>
      </c>
      <c r="D316" s="35">
        <f t="shared" si="13"/>
        <v>350</v>
      </c>
      <c r="E316" s="15">
        <v>3</v>
      </c>
      <c r="F316" s="65" t="s">
        <v>299</v>
      </c>
      <c r="G316" s="15" t="s">
        <v>309</v>
      </c>
      <c r="H316" s="15">
        <v>736</v>
      </c>
      <c r="I316" s="15">
        <f t="shared" si="14"/>
        <v>1050</v>
      </c>
      <c r="J316" s="15">
        <v>1050</v>
      </c>
      <c r="K316" s="15">
        <v>0</v>
      </c>
      <c r="L316" s="15" t="s">
        <v>100</v>
      </c>
      <c r="M316" s="15" t="s">
        <v>610</v>
      </c>
    </row>
    <row r="317" spans="1:13" ht="31.8" thickBot="1" x14ac:dyDescent="0.35">
      <c r="A317" s="64" t="s">
        <v>133</v>
      </c>
      <c r="B317" s="64">
        <v>104026</v>
      </c>
      <c r="C317" s="35">
        <f t="shared" si="12"/>
        <v>388</v>
      </c>
      <c r="D317" s="35">
        <f t="shared" si="13"/>
        <v>554</v>
      </c>
      <c r="E317" s="15">
        <v>1</v>
      </c>
      <c r="F317" s="65" t="s">
        <v>299</v>
      </c>
      <c r="G317" s="15" t="s">
        <v>300</v>
      </c>
      <c r="H317" s="15">
        <v>388</v>
      </c>
      <c r="I317" s="15">
        <f t="shared" si="14"/>
        <v>554</v>
      </c>
      <c r="J317" s="15">
        <v>554</v>
      </c>
      <c r="K317" s="15">
        <v>0</v>
      </c>
      <c r="L317" s="15" t="s">
        <v>100</v>
      </c>
      <c r="M317" s="15" t="s">
        <v>611</v>
      </c>
    </row>
    <row r="318" spans="1:13" ht="16.2" thickBot="1" x14ac:dyDescent="0.35">
      <c r="A318" s="64" t="s">
        <v>133</v>
      </c>
      <c r="B318" s="64">
        <v>104029</v>
      </c>
      <c r="C318" s="35">
        <f t="shared" si="12"/>
        <v>6</v>
      </c>
      <c r="D318" s="35">
        <f t="shared" si="13"/>
        <v>13</v>
      </c>
      <c r="E318" s="15">
        <v>1</v>
      </c>
      <c r="F318" s="65" t="s">
        <v>299</v>
      </c>
      <c r="G318" s="15" t="s">
        <v>300</v>
      </c>
      <c r="H318" s="15">
        <v>6</v>
      </c>
      <c r="I318" s="15">
        <f t="shared" si="14"/>
        <v>13</v>
      </c>
      <c r="J318" s="15">
        <v>13</v>
      </c>
      <c r="K318" s="15">
        <v>0</v>
      </c>
      <c r="L318" s="15" t="s">
        <v>100</v>
      </c>
      <c r="M318" s="15" t="s">
        <v>612</v>
      </c>
    </row>
    <row r="319" spans="1:13" ht="16.2" thickBot="1" x14ac:dyDescent="0.35">
      <c r="A319" s="64" t="s">
        <v>133</v>
      </c>
      <c r="B319" s="64">
        <v>110027</v>
      </c>
      <c r="C319" s="35">
        <f t="shared" si="12"/>
        <v>119</v>
      </c>
      <c r="D319" s="35">
        <f t="shared" si="13"/>
        <v>116</v>
      </c>
      <c r="E319" s="15">
        <v>1</v>
      </c>
      <c r="F319" s="65">
        <v>1</v>
      </c>
      <c r="G319" s="15" t="s">
        <v>300</v>
      </c>
      <c r="H319" s="15">
        <v>119</v>
      </c>
      <c r="I319" s="15">
        <f t="shared" si="14"/>
        <v>116</v>
      </c>
      <c r="J319" s="15">
        <v>116</v>
      </c>
      <c r="K319" s="15">
        <v>0</v>
      </c>
      <c r="L319" s="15" t="s">
        <v>93</v>
      </c>
      <c r="M319" s="15" t="s">
        <v>340</v>
      </c>
    </row>
    <row r="320" spans="1:13" ht="172.2" thickBot="1" x14ac:dyDescent="0.35">
      <c r="A320" s="64" t="s">
        <v>133</v>
      </c>
      <c r="B320" s="64">
        <v>106010</v>
      </c>
      <c r="C320" s="35">
        <f t="shared" si="12"/>
        <v>6473.5</v>
      </c>
      <c r="D320" s="35">
        <f t="shared" si="13"/>
        <v>7356</v>
      </c>
      <c r="E320" s="15">
        <v>2</v>
      </c>
      <c r="F320" s="65" t="s">
        <v>299</v>
      </c>
      <c r="G320" s="15" t="s">
        <v>300</v>
      </c>
      <c r="H320" s="15">
        <v>12947</v>
      </c>
      <c r="I320" s="15">
        <f t="shared" si="14"/>
        <v>14712</v>
      </c>
      <c r="J320" s="15">
        <v>14712</v>
      </c>
      <c r="K320" s="15">
        <v>0</v>
      </c>
      <c r="L320" s="15" t="s">
        <v>90</v>
      </c>
      <c r="M320" s="15" t="s">
        <v>613</v>
      </c>
    </row>
    <row r="321" spans="1:13" ht="16.2" thickBot="1" x14ac:dyDescent="0.35">
      <c r="A321" s="64" t="s">
        <v>133</v>
      </c>
      <c r="B321" s="64">
        <v>109021</v>
      </c>
      <c r="C321" s="35">
        <f t="shared" si="12"/>
        <v>1542</v>
      </c>
      <c r="D321" s="35">
        <f t="shared" si="13"/>
        <v>1720</v>
      </c>
      <c r="E321" s="15">
        <v>1</v>
      </c>
      <c r="F321" s="65" t="s">
        <v>299</v>
      </c>
      <c r="G321" s="15" t="s">
        <v>300</v>
      </c>
      <c r="H321" s="15">
        <v>1542</v>
      </c>
      <c r="I321" s="15">
        <f t="shared" si="14"/>
        <v>1720</v>
      </c>
      <c r="J321" s="15">
        <v>1720</v>
      </c>
      <c r="K321" s="15">
        <v>0</v>
      </c>
      <c r="L321" s="15" t="s">
        <v>89</v>
      </c>
      <c r="M321" s="15" t="s">
        <v>614</v>
      </c>
    </row>
    <row r="322" spans="1:13" ht="31.8" thickBot="1" x14ac:dyDescent="0.35">
      <c r="A322" s="64" t="s">
        <v>133</v>
      </c>
      <c r="B322" s="64">
        <v>112031</v>
      </c>
      <c r="C322" s="35">
        <f t="shared" si="12"/>
        <v>1352</v>
      </c>
      <c r="D322" s="35">
        <f t="shared" si="13"/>
        <v>1779</v>
      </c>
      <c r="E322" s="15">
        <v>1</v>
      </c>
      <c r="F322" s="65">
        <v>1</v>
      </c>
      <c r="G322" s="15" t="s">
        <v>300</v>
      </c>
      <c r="H322" s="15">
        <v>1352</v>
      </c>
      <c r="I322" s="15">
        <f t="shared" si="14"/>
        <v>1779</v>
      </c>
      <c r="J322" s="15">
        <v>1779</v>
      </c>
      <c r="K322" s="15">
        <v>0</v>
      </c>
      <c r="L322" s="15" t="s">
        <v>92</v>
      </c>
      <c r="M322" s="15" t="s">
        <v>615</v>
      </c>
    </row>
    <row r="323" spans="1:13" ht="47.4" thickBot="1" x14ac:dyDescent="0.35">
      <c r="A323" s="64" t="s">
        <v>133</v>
      </c>
      <c r="B323" s="64">
        <v>116008</v>
      </c>
      <c r="C323" s="35">
        <f t="shared" si="12"/>
        <v>1759.6666666666667</v>
      </c>
      <c r="D323" s="35">
        <f t="shared" si="13"/>
        <v>2005.3333333333333</v>
      </c>
      <c r="E323" s="15">
        <v>3</v>
      </c>
      <c r="F323" s="65" t="s">
        <v>299</v>
      </c>
      <c r="G323" s="15" t="s">
        <v>300</v>
      </c>
      <c r="H323" s="15">
        <v>5279</v>
      </c>
      <c r="I323" s="15">
        <f t="shared" si="14"/>
        <v>6016</v>
      </c>
      <c r="J323" s="15">
        <v>6016</v>
      </c>
      <c r="K323" s="15">
        <v>0</v>
      </c>
      <c r="L323" s="15" t="s">
        <v>98</v>
      </c>
      <c r="M323" s="15" t="s">
        <v>616</v>
      </c>
    </row>
    <row r="324" spans="1:13" ht="78.599999999999994" thickBot="1" x14ac:dyDescent="0.35">
      <c r="A324" s="64" t="s">
        <v>133</v>
      </c>
      <c r="B324" s="64">
        <v>106002</v>
      </c>
      <c r="C324" s="35">
        <f t="shared" si="12"/>
        <v>1894</v>
      </c>
      <c r="D324" s="35">
        <f t="shared" si="13"/>
        <v>1830</v>
      </c>
      <c r="E324" s="15">
        <v>1</v>
      </c>
      <c r="F324" s="65" t="s">
        <v>299</v>
      </c>
      <c r="G324" s="15" t="s">
        <v>300</v>
      </c>
      <c r="H324" s="15">
        <v>1894</v>
      </c>
      <c r="I324" s="15">
        <f t="shared" si="14"/>
        <v>1830</v>
      </c>
      <c r="J324" s="15">
        <v>1830</v>
      </c>
      <c r="K324" s="15">
        <v>0</v>
      </c>
      <c r="L324" s="15" t="s">
        <v>90</v>
      </c>
      <c r="M324" s="15" t="s">
        <v>617</v>
      </c>
    </row>
    <row r="325" spans="1:13" ht="31.8" thickBot="1" x14ac:dyDescent="0.35">
      <c r="A325" s="64" t="s">
        <v>133</v>
      </c>
      <c r="B325" s="64">
        <v>105018</v>
      </c>
      <c r="C325" s="35">
        <f t="shared" si="12"/>
        <v>37</v>
      </c>
      <c r="D325" s="35">
        <f t="shared" si="13"/>
        <v>42</v>
      </c>
      <c r="E325" s="15">
        <v>1</v>
      </c>
      <c r="F325" s="65" t="s">
        <v>299</v>
      </c>
      <c r="G325" s="15" t="s">
        <v>300</v>
      </c>
      <c r="H325" s="15">
        <v>37</v>
      </c>
      <c r="I325" s="15">
        <f t="shared" si="14"/>
        <v>42</v>
      </c>
      <c r="J325" s="15">
        <v>42</v>
      </c>
      <c r="K325" s="15">
        <v>0</v>
      </c>
      <c r="L325" s="15" t="s">
        <v>88</v>
      </c>
      <c r="M325" s="15" t="s">
        <v>618</v>
      </c>
    </row>
    <row r="326" spans="1:13" ht="16.2" thickBot="1" x14ac:dyDescent="0.35">
      <c r="A326" s="64" t="s">
        <v>133</v>
      </c>
      <c r="B326" s="64">
        <v>118005</v>
      </c>
      <c r="C326" s="35">
        <f t="shared" si="12"/>
        <v>552</v>
      </c>
      <c r="D326" s="35">
        <f t="shared" si="13"/>
        <v>562</v>
      </c>
      <c r="E326" s="15">
        <v>1</v>
      </c>
      <c r="F326" s="65" t="s">
        <v>299</v>
      </c>
      <c r="G326" s="15" t="s">
        <v>300</v>
      </c>
      <c r="H326" s="15">
        <v>552</v>
      </c>
      <c r="I326" s="15">
        <f t="shared" si="14"/>
        <v>562</v>
      </c>
      <c r="J326" s="15">
        <v>562</v>
      </c>
      <c r="K326" s="15">
        <v>0</v>
      </c>
      <c r="L326" s="15" t="s">
        <v>85</v>
      </c>
      <c r="M326" s="15" t="s">
        <v>619</v>
      </c>
    </row>
    <row r="327" spans="1:13" ht="234.6" thickBot="1" x14ac:dyDescent="0.35">
      <c r="A327" s="64" t="s">
        <v>133</v>
      </c>
      <c r="B327" s="64">
        <v>107004</v>
      </c>
      <c r="C327" s="35">
        <f t="shared" si="12"/>
        <v>4270</v>
      </c>
      <c r="D327" s="35">
        <f t="shared" si="13"/>
        <v>5149.666666666667</v>
      </c>
      <c r="E327" s="15">
        <v>3</v>
      </c>
      <c r="F327" s="65" t="s">
        <v>299</v>
      </c>
      <c r="G327" s="15" t="s">
        <v>300</v>
      </c>
      <c r="H327" s="15">
        <v>12810</v>
      </c>
      <c r="I327" s="15">
        <f t="shared" si="14"/>
        <v>15449</v>
      </c>
      <c r="J327" s="15">
        <v>15449</v>
      </c>
      <c r="K327" s="15">
        <v>0</v>
      </c>
      <c r="L327" s="15" t="s">
        <v>91</v>
      </c>
      <c r="M327" s="15" t="s">
        <v>620</v>
      </c>
    </row>
    <row r="328" spans="1:13" ht="16.2" thickBot="1" x14ac:dyDescent="0.35">
      <c r="A328" s="64" t="s">
        <v>133</v>
      </c>
      <c r="B328" s="64">
        <v>107006</v>
      </c>
      <c r="C328" s="35">
        <f t="shared" ref="C328:C391" si="15">H328/E328</f>
        <v>194</v>
      </c>
      <c r="D328" s="35">
        <f t="shared" ref="D328:D391" si="16">I328/E328</f>
        <v>343</v>
      </c>
      <c r="E328" s="15">
        <v>1</v>
      </c>
      <c r="F328" s="65" t="s">
        <v>299</v>
      </c>
      <c r="G328" s="15" t="s">
        <v>300</v>
      </c>
      <c r="H328" s="15">
        <v>194</v>
      </c>
      <c r="I328" s="15">
        <f t="shared" si="14"/>
        <v>343</v>
      </c>
      <c r="J328" s="15">
        <v>343</v>
      </c>
      <c r="K328" s="15">
        <v>0</v>
      </c>
      <c r="L328" s="15" t="s">
        <v>91</v>
      </c>
      <c r="M328" s="15" t="s">
        <v>621</v>
      </c>
    </row>
    <row r="329" spans="1:13" ht="141" thickBot="1" x14ac:dyDescent="0.35">
      <c r="A329" s="64" t="s">
        <v>133</v>
      </c>
      <c r="B329" s="64">
        <v>107007</v>
      </c>
      <c r="C329" s="35">
        <f t="shared" si="15"/>
        <v>2422</v>
      </c>
      <c r="D329" s="35">
        <f t="shared" si="16"/>
        <v>2518</v>
      </c>
      <c r="E329" s="15">
        <v>2</v>
      </c>
      <c r="F329" s="65" t="s">
        <v>299</v>
      </c>
      <c r="G329" s="15" t="s">
        <v>300</v>
      </c>
      <c r="H329" s="15">
        <v>4844</v>
      </c>
      <c r="I329" s="15">
        <f t="shared" ref="I329:I392" si="17">SUM(J329:K329)</f>
        <v>5036</v>
      </c>
      <c r="J329" s="15">
        <v>5036</v>
      </c>
      <c r="K329" s="15">
        <v>0</v>
      </c>
      <c r="L329" s="15" t="s">
        <v>622</v>
      </c>
      <c r="M329" s="15" t="s">
        <v>623</v>
      </c>
    </row>
    <row r="330" spans="1:13" ht="203.4" thickBot="1" x14ac:dyDescent="0.35">
      <c r="A330" s="64" t="s">
        <v>133</v>
      </c>
      <c r="B330" s="64">
        <v>107008</v>
      </c>
      <c r="C330" s="35">
        <f t="shared" si="15"/>
        <v>3409</v>
      </c>
      <c r="D330" s="35">
        <f t="shared" si="16"/>
        <v>4844</v>
      </c>
      <c r="E330" s="15">
        <v>2</v>
      </c>
      <c r="F330" s="65" t="s">
        <v>299</v>
      </c>
      <c r="G330" s="15" t="s">
        <v>300</v>
      </c>
      <c r="H330" s="15">
        <v>6818</v>
      </c>
      <c r="I330" s="15">
        <f t="shared" si="17"/>
        <v>9688</v>
      </c>
      <c r="J330" s="15">
        <v>9688</v>
      </c>
      <c r="K330" s="15">
        <v>0</v>
      </c>
      <c r="L330" s="15" t="s">
        <v>622</v>
      </c>
      <c r="M330" s="15" t="s">
        <v>624</v>
      </c>
    </row>
    <row r="331" spans="1:13" ht="78.599999999999994" thickBot="1" x14ac:dyDescent="0.35">
      <c r="A331" s="64" t="s">
        <v>133</v>
      </c>
      <c r="B331" s="64">
        <v>117038</v>
      </c>
      <c r="C331" s="35">
        <f t="shared" si="15"/>
        <v>1339</v>
      </c>
      <c r="D331" s="35">
        <f t="shared" si="16"/>
        <v>1420</v>
      </c>
      <c r="E331" s="15">
        <v>2</v>
      </c>
      <c r="F331" s="65">
        <v>1</v>
      </c>
      <c r="G331" s="15" t="s">
        <v>300</v>
      </c>
      <c r="H331" s="15">
        <v>2678</v>
      </c>
      <c r="I331" s="15">
        <f t="shared" si="17"/>
        <v>2840</v>
      </c>
      <c r="J331" s="15">
        <v>2840</v>
      </c>
      <c r="K331" s="15">
        <v>0</v>
      </c>
      <c r="L331" s="15" t="s">
        <v>99</v>
      </c>
      <c r="M331" s="15" t="s">
        <v>625</v>
      </c>
    </row>
    <row r="332" spans="1:13" ht="409.6" thickBot="1" x14ac:dyDescent="0.35">
      <c r="A332" s="64" t="s">
        <v>133</v>
      </c>
      <c r="B332" s="64">
        <v>118025</v>
      </c>
      <c r="C332" s="35">
        <f t="shared" si="15"/>
        <v>3546.4444444444443</v>
      </c>
      <c r="D332" s="35">
        <f t="shared" si="16"/>
        <v>5237.5555555555557</v>
      </c>
      <c r="E332" s="15">
        <v>9</v>
      </c>
      <c r="F332" s="65" t="s">
        <v>299</v>
      </c>
      <c r="G332" s="15" t="s">
        <v>300</v>
      </c>
      <c r="H332" s="15">
        <v>31918</v>
      </c>
      <c r="I332" s="15">
        <f t="shared" si="17"/>
        <v>47138</v>
      </c>
      <c r="J332" s="15">
        <v>47138</v>
      </c>
      <c r="K332" s="15">
        <v>0</v>
      </c>
      <c r="L332" s="15" t="s">
        <v>85</v>
      </c>
      <c r="M332" s="15" t="s">
        <v>626</v>
      </c>
    </row>
    <row r="333" spans="1:13" ht="31.8" thickBot="1" x14ac:dyDescent="0.35">
      <c r="A333" s="64" t="s">
        <v>133</v>
      </c>
      <c r="B333" s="64">
        <v>109028</v>
      </c>
      <c r="C333" s="35">
        <f t="shared" si="15"/>
        <v>87</v>
      </c>
      <c r="D333" s="35">
        <f t="shared" si="16"/>
        <v>84</v>
      </c>
      <c r="E333" s="15">
        <v>1</v>
      </c>
      <c r="F333" s="65" t="s">
        <v>299</v>
      </c>
      <c r="G333" s="15" t="s">
        <v>300</v>
      </c>
      <c r="H333" s="15">
        <v>87</v>
      </c>
      <c r="I333" s="15">
        <f t="shared" si="17"/>
        <v>84</v>
      </c>
      <c r="J333" s="15">
        <v>84</v>
      </c>
      <c r="K333" s="15">
        <v>0</v>
      </c>
      <c r="L333" s="15" t="s">
        <v>89</v>
      </c>
      <c r="M333" s="15" t="s">
        <v>627</v>
      </c>
    </row>
    <row r="334" spans="1:13" ht="31.8" thickBot="1" x14ac:dyDescent="0.35">
      <c r="A334" s="64" t="s">
        <v>133</v>
      </c>
      <c r="B334" s="64">
        <v>116009</v>
      </c>
      <c r="C334" s="35">
        <f t="shared" si="15"/>
        <v>719</v>
      </c>
      <c r="D334" s="35">
        <f t="shared" si="16"/>
        <v>924</v>
      </c>
      <c r="E334" s="15">
        <v>1</v>
      </c>
      <c r="F334" s="65" t="s">
        <v>299</v>
      </c>
      <c r="G334" s="15" t="s">
        <v>300</v>
      </c>
      <c r="H334" s="15">
        <v>719</v>
      </c>
      <c r="I334" s="15">
        <f t="shared" si="17"/>
        <v>924</v>
      </c>
      <c r="J334" s="15">
        <v>924</v>
      </c>
      <c r="K334" s="15">
        <v>0</v>
      </c>
      <c r="L334" s="15" t="s">
        <v>98</v>
      </c>
      <c r="M334" s="15" t="s">
        <v>628</v>
      </c>
    </row>
    <row r="335" spans="1:13" ht="16.2" thickBot="1" x14ac:dyDescent="0.35">
      <c r="A335" s="64" t="s">
        <v>133</v>
      </c>
      <c r="B335" s="64">
        <v>118146</v>
      </c>
      <c r="C335" s="35">
        <f t="shared" si="15"/>
        <v>5</v>
      </c>
      <c r="D335" s="35">
        <f t="shared" si="16"/>
        <v>6</v>
      </c>
      <c r="E335" s="15">
        <v>1</v>
      </c>
      <c r="F335" s="65" t="s">
        <v>299</v>
      </c>
      <c r="G335" s="15" t="s">
        <v>300</v>
      </c>
      <c r="H335" s="15">
        <v>5</v>
      </c>
      <c r="I335" s="15">
        <f t="shared" si="17"/>
        <v>6</v>
      </c>
      <c r="J335" s="15">
        <v>6</v>
      </c>
      <c r="K335" s="15">
        <v>0</v>
      </c>
      <c r="L335" s="15" t="s">
        <v>85</v>
      </c>
      <c r="M335" s="15" t="s">
        <v>629</v>
      </c>
    </row>
    <row r="336" spans="1:13" ht="31.8" thickBot="1" x14ac:dyDescent="0.35">
      <c r="A336" s="64" t="s">
        <v>133</v>
      </c>
      <c r="B336" s="64">
        <v>118022</v>
      </c>
      <c r="C336" s="35">
        <f t="shared" si="15"/>
        <v>353</v>
      </c>
      <c r="D336" s="35">
        <f t="shared" si="16"/>
        <v>375</v>
      </c>
      <c r="E336" s="15">
        <v>1</v>
      </c>
      <c r="F336" s="65">
        <v>1</v>
      </c>
      <c r="G336" s="15" t="s">
        <v>300</v>
      </c>
      <c r="H336" s="15">
        <v>353</v>
      </c>
      <c r="I336" s="15">
        <f t="shared" si="17"/>
        <v>375</v>
      </c>
      <c r="J336" s="15">
        <v>375</v>
      </c>
      <c r="K336" s="15">
        <v>0</v>
      </c>
      <c r="L336" s="15" t="s">
        <v>85</v>
      </c>
      <c r="M336" s="15" t="s">
        <v>630</v>
      </c>
    </row>
    <row r="337" spans="1:13" ht="16.2" thickBot="1" x14ac:dyDescent="0.35">
      <c r="A337" s="64" t="s">
        <v>133</v>
      </c>
      <c r="B337" s="64">
        <v>105012</v>
      </c>
      <c r="C337" s="35">
        <f t="shared" si="15"/>
        <v>765</v>
      </c>
      <c r="D337" s="35">
        <f t="shared" si="16"/>
        <v>958</v>
      </c>
      <c r="E337" s="15">
        <v>1</v>
      </c>
      <c r="F337" s="65" t="s">
        <v>299</v>
      </c>
      <c r="G337" s="15" t="s">
        <v>300</v>
      </c>
      <c r="H337" s="15">
        <v>765</v>
      </c>
      <c r="I337" s="15">
        <f t="shared" si="17"/>
        <v>958</v>
      </c>
      <c r="J337" s="15">
        <v>958</v>
      </c>
      <c r="K337" s="15">
        <v>0</v>
      </c>
      <c r="L337" s="15" t="s">
        <v>88</v>
      </c>
      <c r="M337" s="15" t="s">
        <v>631</v>
      </c>
    </row>
    <row r="338" spans="1:13" ht="16.2" thickBot="1" x14ac:dyDescent="0.35">
      <c r="A338" s="64" t="s">
        <v>133</v>
      </c>
      <c r="B338" s="64">
        <v>118010</v>
      </c>
      <c r="C338" s="35">
        <f t="shared" si="15"/>
        <v>758</v>
      </c>
      <c r="D338" s="35">
        <f t="shared" si="16"/>
        <v>957</v>
      </c>
      <c r="E338" s="15">
        <v>1</v>
      </c>
      <c r="F338" s="65" t="s">
        <v>299</v>
      </c>
      <c r="G338" s="15" t="s">
        <v>300</v>
      </c>
      <c r="H338" s="15">
        <v>758</v>
      </c>
      <c r="I338" s="15">
        <f t="shared" si="17"/>
        <v>957</v>
      </c>
      <c r="J338" s="15">
        <v>957</v>
      </c>
      <c r="K338" s="15">
        <v>0</v>
      </c>
      <c r="L338" s="15" t="s">
        <v>85</v>
      </c>
      <c r="M338" s="15" t="s">
        <v>632</v>
      </c>
    </row>
    <row r="339" spans="1:13" ht="94.2" thickBot="1" x14ac:dyDescent="0.35">
      <c r="A339" s="64" t="s">
        <v>133</v>
      </c>
      <c r="B339" s="64">
        <v>118031</v>
      </c>
      <c r="C339" s="35">
        <f t="shared" si="15"/>
        <v>4440</v>
      </c>
      <c r="D339" s="35">
        <f t="shared" si="16"/>
        <v>4724</v>
      </c>
      <c r="E339" s="15">
        <v>1</v>
      </c>
      <c r="F339" s="65" t="s">
        <v>299</v>
      </c>
      <c r="G339" s="15" t="s">
        <v>300</v>
      </c>
      <c r="H339" s="15">
        <v>4440</v>
      </c>
      <c r="I339" s="15">
        <f t="shared" si="17"/>
        <v>4724</v>
      </c>
      <c r="J339" s="15">
        <v>4724</v>
      </c>
      <c r="K339" s="15">
        <v>0</v>
      </c>
      <c r="L339" s="15" t="s">
        <v>85</v>
      </c>
      <c r="M339" s="15" t="s">
        <v>633</v>
      </c>
    </row>
    <row r="340" spans="1:13" ht="47.4" thickBot="1" x14ac:dyDescent="0.35">
      <c r="A340" s="64" t="s">
        <v>133</v>
      </c>
      <c r="B340" s="64">
        <v>118066</v>
      </c>
      <c r="C340" s="35">
        <f t="shared" si="15"/>
        <v>318</v>
      </c>
      <c r="D340" s="35">
        <f t="shared" si="16"/>
        <v>337</v>
      </c>
      <c r="E340" s="15">
        <v>1</v>
      </c>
      <c r="F340" s="65" t="s">
        <v>299</v>
      </c>
      <c r="G340" s="15" t="s">
        <v>300</v>
      </c>
      <c r="H340" s="15">
        <v>318</v>
      </c>
      <c r="I340" s="15">
        <f t="shared" si="17"/>
        <v>337</v>
      </c>
      <c r="J340" s="15">
        <v>337</v>
      </c>
      <c r="K340" s="15">
        <v>0</v>
      </c>
      <c r="L340" s="15" t="s">
        <v>85</v>
      </c>
      <c r="M340" s="15" t="s">
        <v>634</v>
      </c>
    </row>
    <row r="341" spans="1:13" ht="409.6" thickBot="1" x14ac:dyDescent="0.35">
      <c r="A341" s="64" t="s">
        <v>133</v>
      </c>
      <c r="B341" s="64">
        <v>107009</v>
      </c>
      <c r="C341" s="35">
        <f t="shared" si="15"/>
        <v>5413.4444444444443</v>
      </c>
      <c r="D341" s="35">
        <f t="shared" si="16"/>
        <v>7215.333333333333</v>
      </c>
      <c r="E341" s="15">
        <v>9</v>
      </c>
      <c r="F341" s="65" t="s">
        <v>299</v>
      </c>
      <c r="G341" s="15" t="s">
        <v>300</v>
      </c>
      <c r="H341" s="15">
        <v>48721</v>
      </c>
      <c r="I341" s="15">
        <f t="shared" si="17"/>
        <v>64938</v>
      </c>
      <c r="J341" s="15">
        <v>64938</v>
      </c>
      <c r="K341" s="15">
        <v>0</v>
      </c>
      <c r="L341" s="15" t="s">
        <v>635</v>
      </c>
      <c r="M341" s="15" t="s">
        <v>636</v>
      </c>
    </row>
    <row r="342" spans="1:13" ht="31.8" thickBot="1" x14ac:dyDescent="0.35">
      <c r="A342" s="64" t="s">
        <v>133</v>
      </c>
      <c r="B342" s="64">
        <v>111026</v>
      </c>
      <c r="C342" s="35">
        <f t="shared" si="15"/>
        <v>804</v>
      </c>
      <c r="D342" s="35">
        <f t="shared" si="16"/>
        <v>1470</v>
      </c>
      <c r="E342" s="15">
        <v>1</v>
      </c>
      <c r="F342" s="65" t="s">
        <v>299</v>
      </c>
      <c r="G342" s="15" t="s">
        <v>300</v>
      </c>
      <c r="H342" s="15">
        <v>804</v>
      </c>
      <c r="I342" s="15">
        <f t="shared" si="17"/>
        <v>1470</v>
      </c>
      <c r="J342" s="15">
        <v>1470</v>
      </c>
      <c r="K342" s="15">
        <v>0</v>
      </c>
      <c r="L342" s="15" t="s">
        <v>94</v>
      </c>
      <c r="M342" s="15" t="s">
        <v>637</v>
      </c>
    </row>
    <row r="343" spans="1:13" ht="409.6" thickBot="1" x14ac:dyDescent="0.35">
      <c r="A343" s="64" t="s">
        <v>133</v>
      </c>
      <c r="B343" s="64">
        <v>118029</v>
      </c>
      <c r="C343" s="35">
        <f t="shared" si="15"/>
        <v>3326.7777777777778</v>
      </c>
      <c r="D343" s="35">
        <f t="shared" si="16"/>
        <v>4190.8888888888887</v>
      </c>
      <c r="E343" s="15">
        <v>9</v>
      </c>
      <c r="F343" s="65">
        <v>3</v>
      </c>
      <c r="G343" s="15" t="s">
        <v>300</v>
      </c>
      <c r="H343" s="15">
        <v>29941</v>
      </c>
      <c r="I343" s="15">
        <f t="shared" si="17"/>
        <v>37718</v>
      </c>
      <c r="J343" s="15">
        <v>37718</v>
      </c>
      <c r="K343" s="15">
        <v>0</v>
      </c>
      <c r="L343" s="15" t="s">
        <v>85</v>
      </c>
      <c r="M343" s="15" t="s">
        <v>638</v>
      </c>
    </row>
    <row r="344" spans="1:13" ht="109.8" thickBot="1" x14ac:dyDescent="0.35">
      <c r="A344" s="64" t="s">
        <v>133</v>
      </c>
      <c r="B344" s="64">
        <v>118032</v>
      </c>
      <c r="C344" s="35">
        <f t="shared" si="15"/>
        <v>2410</v>
      </c>
      <c r="D344" s="35">
        <f t="shared" si="16"/>
        <v>3274.5</v>
      </c>
      <c r="E344" s="15">
        <v>2</v>
      </c>
      <c r="F344" s="65" t="s">
        <v>299</v>
      </c>
      <c r="G344" s="15" t="s">
        <v>300</v>
      </c>
      <c r="H344" s="15">
        <v>4820</v>
      </c>
      <c r="I344" s="15">
        <f t="shared" si="17"/>
        <v>6549</v>
      </c>
      <c r="J344" s="15">
        <v>6549</v>
      </c>
      <c r="K344" s="15">
        <v>0</v>
      </c>
      <c r="L344" s="15" t="s">
        <v>85</v>
      </c>
      <c r="M344" s="15" t="s">
        <v>639</v>
      </c>
    </row>
    <row r="345" spans="1:13" ht="125.4" thickBot="1" x14ac:dyDescent="0.35">
      <c r="A345" s="64" t="s">
        <v>133</v>
      </c>
      <c r="B345" s="64">
        <v>118033</v>
      </c>
      <c r="C345" s="35">
        <f t="shared" si="15"/>
        <v>1072</v>
      </c>
      <c r="D345" s="35">
        <f t="shared" si="16"/>
        <v>1737.5</v>
      </c>
      <c r="E345" s="15">
        <v>2</v>
      </c>
      <c r="F345" s="65" t="s">
        <v>299</v>
      </c>
      <c r="G345" s="15" t="s">
        <v>300</v>
      </c>
      <c r="H345" s="15">
        <v>2144</v>
      </c>
      <c r="I345" s="15">
        <f t="shared" si="17"/>
        <v>3475</v>
      </c>
      <c r="J345" s="15">
        <v>3475</v>
      </c>
      <c r="K345" s="15">
        <v>0</v>
      </c>
      <c r="L345" s="15" t="s">
        <v>85</v>
      </c>
      <c r="M345" s="15" t="s">
        <v>640</v>
      </c>
    </row>
    <row r="346" spans="1:13" ht="31.8" thickBot="1" x14ac:dyDescent="0.35">
      <c r="A346" s="64" t="s">
        <v>133</v>
      </c>
      <c r="B346" s="64">
        <v>117033</v>
      </c>
      <c r="C346" s="35">
        <f t="shared" si="15"/>
        <v>196</v>
      </c>
      <c r="D346" s="35">
        <f t="shared" si="16"/>
        <v>194</v>
      </c>
      <c r="E346" s="15">
        <v>2</v>
      </c>
      <c r="F346" s="65" t="s">
        <v>299</v>
      </c>
      <c r="G346" s="15" t="s">
        <v>300</v>
      </c>
      <c r="H346" s="15">
        <v>392</v>
      </c>
      <c r="I346" s="15">
        <f t="shared" si="17"/>
        <v>388</v>
      </c>
      <c r="J346" s="15">
        <v>388</v>
      </c>
      <c r="K346" s="15">
        <v>0</v>
      </c>
      <c r="L346" s="15" t="s">
        <v>99</v>
      </c>
      <c r="M346" s="15" t="s">
        <v>641</v>
      </c>
    </row>
    <row r="347" spans="1:13" ht="409.6" thickBot="1" x14ac:dyDescent="0.35">
      <c r="A347" s="64" t="s">
        <v>133</v>
      </c>
      <c r="B347" s="64">
        <v>109008</v>
      </c>
      <c r="C347" s="35">
        <f t="shared" si="15"/>
        <v>2929.6470588235293</v>
      </c>
      <c r="D347" s="35">
        <f t="shared" si="16"/>
        <v>3706.4117647058824</v>
      </c>
      <c r="E347" s="15">
        <v>17</v>
      </c>
      <c r="F347" s="65">
        <v>1</v>
      </c>
      <c r="G347" s="15" t="s">
        <v>300</v>
      </c>
      <c r="H347" s="15">
        <v>49804</v>
      </c>
      <c r="I347" s="15">
        <f t="shared" si="17"/>
        <v>63009</v>
      </c>
      <c r="J347" s="15">
        <v>63009</v>
      </c>
      <c r="K347" s="15">
        <v>0</v>
      </c>
      <c r="L347" s="15" t="s">
        <v>97</v>
      </c>
      <c r="M347" s="15" t="s">
        <v>642</v>
      </c>
    </row>
    <row r="348" spans="1:13" ht="409.6" thickBot="1" x14ac:dyDescent="0.35">
      <c r="A348" s="64" t="s">
        <v>133</v>
      </c>
      <c r="B348" s="64">
        <v>109013</v>
      </c>
      <c r="C348" s="35">
        <f t="shared" si="15"/>
        <v>2729.818181818182</v>
      </c>
      <c r="D348" s="35">
        <f t="shared" si="16"/>
        <v>3484.2727272727275</v>
      </c>
      <c r="E348" s="15">
        <v>22</v>
      </c>
      <c r="F348" s="65">
        <v>1</v>
      </c>
      <c r="G348" s="15" t="s">
        <v>300</v>
      </c>
      <c r="H348" s="15">
        <v>60056</v>
      </c>
      <c r="I348" s="15">
        <f t="shared" si="17"/>
        <v>76654</v>
      </c>
      <c r="J348" s="15">
        <v>76654</v>
      </c>
      <c r="K348" s="15">
        <v>0</v>
      </c>
      <c r="L348" s="15" t="s">
        <v>97</v>
      </c>
      <c r="M348" s="15" t="s">
        <v>643</v>
      </c>
    </row>
    <row r="349" spans="1:13" ht="78.599999999999994" thickBot="1" x14ac:dyDescent="0.35">
      <c r="A349" s="64" t="s">
        <v>133</v>
      </c>
      <c r="B349" s="64">
        <v>118034</v>
      </c>
      <c r="C349" s="35">
        <f t="shared" si="15"/>
        <v>4147</v>
      </c>
      <c r="D349" s="35">
        <f t="shared" si="16"/>
        <v>4919</v>
      </c>
      <c r="E349" s="15">
        <v>1</v>
      </c>
      <c r="F349" s="65" t="s">
        <v>299</v>
      </c>
      <c r="G349" s="15" t="s">
        <v>300</v>
      </c>
      <c r="H349" s="15">
        <v>4147</v>
      </c>
      <c r="I349" s="15">
        <f t="shared" si="17"/>
        <v>4919</v>
      </c>
      <c r="J349" s="15">
        <v>4919</v>
      </c>
      <c r="K349" s="15">
        <v>0</v>
      </c>
      <c r="L349" s="15" t="s">
        <v>85</v>
      </c>
      <c r="M349" s="15" t="s">
        <v>644</v>
      </c>
    </row>
    <row r="350" spans="1:13" ht="78.599999999999994" thickBot="1" x14ac:dyDescent="0.35">
      <c r="A350" s="64" t="s">
        <v>133</v>
      </c>
      <c r="B350" s="64">
        <v>105013</v>
      </c>
      <c r="C350" s="35">
        <f t="shared" si="15"/>
        <v>4672</v>
      </c>
      <c r="D350" s="35">
        <f t="shared" si="16"/>
        <v>5573</v>
      </c>
      <c r="E350" s="15">
        <v>1</v>
      </c>
      <c r="F350" s="65" t="s">
        <v>299</v>
      </c>
      <c r="G350" s="15" t="s">
        <v>300</v>
      </c>
      <c r="H350" s="15">
        <v>4672</v>
      </c>
      <c r="I350" s="15">
        <f t="shared" si="17"/>
        <v>5573</v>
      </c>
      <c r="J350" s="15">
        <v>5573</v>
      </c>
      <c r="K350" s="15">
        <v>0</v>
      </c>
      <c r="L350" s="15" t="s">
        <v>88</v>
      </c>
      <c r="M350" s="15" t="s">
        <v>645</v>
      </c>
    </row>
    <row r="351" spans="1:13" ht="47.4" thickBot="1" x14ac:dyDescent="0.35">
      <c r="A351" s="64" t="s">
        <v>133</v>
      </c>
      <c r="B351" s="64">
        <v>105014</v>
      </c>
      <c r="C351" s="35">
        <f t="shared" si="15"/>
        <v>187.5</v>
      </c>
      <c r="D351" s="35">
        <f t="shared" si="16"/>
        <v>246.25</v>
      </c>
      <c r="E351" s="15">
        <v>4</v>
      </c>
      <c r="F351" s="65" t="s">
        <v>299</v>
      </c>
      <c r="G351" s="15" t="s">
        <v>309</v>
      </c>
      <c r="H351" s="15">
        <v>750</v>
      </c>
      <c r="I351" s="15">
        <f t="shared" si="17"/>
        <v>985</v>
      </c>
      <c r="J351" s="15">
        <v>985</v>
      </c>
      <c r="K351" s="15">
        <v>0</v>
      </c>
      <c r="L351" s="15" t="s">
        <v>88</v>
      </c>
      <c r="M351" s="15" t="s">
        <v>646</v>
      </c>
    </row>
    <row r="352" spans="1:13" ht="409.6" thickBot="1" x14ac:dyDescent="0.35">
      <c r="A352" s="64" t="s">
        <v>133</v>
      </c>
      <c r="B352" s="64">
        <v>113003</v>
      </c>
      <c r="C352" s="35">
        <f t="shared" si="15"/>
        <v>11929.9</v>
      </c>
      <c r="D352" s="35">
        <f t="shared" si="16"/>
        <v>26075.4</v>
      </c>
      <c r="E352" s="15">
        <v>10</v>
      </c>
      <c r="F352" s="65">
        <v>2</v>
      </c>
      <c r="G352" s="15" t="s">
        <v>300</v>
      </c>
      <c r="H352" s="15">
        <v>119299</v>
      </c>
      <c r="I352" s="15">
        <f t="shared" si="17"/>
        <v>260754</v>
      </c>
      <c r="J352" s="15">
        <v>260754</v>
      </c>
      <c r="K352" s="15">
        <v>0</v>
      </c>
      <c r="L352" s="15" t="s">
        <v>383</v>
      </c>
      <c r="M352" s="15" t="s">
        <v>647</v>
      </c>
    </row>
    <row r="353" spans="1:13" ht="31.8" thickBot="1" x14ac:dyDescent="0.35">
      <c r="A353" s="64" t="s">
        <v>133</v>
      </c>
      <c r="B353" s="64" t="s">
        <v>648</v>
      </c>
      <c r="C353" s="35">
        <f t="shared" si="15"/>
        <v>8</v>
      </c>
      <c r="D353" s="35">
        <f t="shared" si="16"/>
        <v>1</v>
      </c>
      <c r="E353" s="15">
        <v>1</v>
      </c>
      <c r="F353" s="65" t="s">
        <v>299</v>
      </c>
      <c r="G353" s="15" t="s">
        <v>300</v>
      </c>
      <c r="H353" s="15">
        <v>8</v>
      </c>
      <c r="I353" s="15">
        <f t="shared" si="17"/>
        <v>1</v>
      </c>
      <c r="J353" s="15">
        <v>1</v>
      </c>
      <c r="K353" s="15">
        <v>0</v>
      </c>
      <c r="L353" s="15" t="s">
        <v>101</v>
      </c>
      <c r="M353" s="15" t="s">
        <v>649</v>
      </c>
    </row>
    <row r="354" spans="1:13" ht="281.39999999999998" thickBot="1" x14ac:dyDescent="0.35">
      <c r="A354" s="64" t="s">
        <v>133</v>
      </c>
      <c r="B354" s="64">
        <v>113004</v>
      </c>
      <c r="C354" s="35">
        <f t="shared" si="15"/>
        <v>305.88888888888891</v>
      </c>
      <c r="D354" s="35">
        <f t="shared" si="16"/>
        <v>351.44444444444446</v>
      </c>
      <c r="E354" s="15">
        <v>9</v>
      </c>
      <c r="F354" s="65">
        <v>2</v>
      </c>
      <c r="G354" s="15" t="s">
        <v>309</v>
      </c>
      <c r="H354" s="15">
        <v>2753</v>
      </c>
      <c r="I354" s="15">
        <f t="shared" si="17"/>
        <v>3163</v>
      </c>
      <c r="J354" s="15">
        <v>3163</v>
      </c>
      <c r="K354" s="15">
        <v>0</v>
      </c>
      <c r="L354" s="15" t="s">
        <v>101</v>
      </c>
      <c r="M354" s="15" t="s">
        <v>650</v>
      </c>
    </row>
    <row r="355" spans="1:13" ht="203.4" thickBot="1" x14ac:dyDescent="0.35">
      <c r="A355" s="64" t="s">
        <v>133</v>
      </c>
      <c r="B355" s="64">
        <v>113005</v>
      </c>
      <c r="C355" s="35">
        <f t="shared" si="15"/>
        <v>206</v>
      </c>
      <c r="D355" s="35">
        <f t="shared" si="16"/>
        <v>235.375</v>
      </c>
      <c r="E355" s="15">
        <v>8</v>
      </c>
      <c r="F355" s="65">
        <v>2</v>
      </c>
      <c r="G355" s="15" t="s">
        <v>309</v>
      </c>
      <c r="H355" s="15">
        <v>1648</v>
      </c>
      <c r="I355" s="15">
        <f t="shared" si="17"/>
        <v>1883</v>
      </c>
      <c r="J355" s="15">
        <v>1883</v>
      </c>
      <c r="K355" s="15">
        <v>0</v>
      </c>
      <c r="L355" s="15" t="s">
        <v>101</v>
      </c>
      <c r="M355" s="15" t="s">
        <v>651</v>
      </c>
    </row>
    <row r="356" spans="1:13" ht="203.4" thickBot="1" x14ac:dyDescent="0.35">
      <c r="A356" s="64" t="s">
        <v>133</v>
      </c>
      <c r="B356" s="64">
        <v>113006</v>
      </c>
      <c r="C356" s="35">
        <f t="shared" si="15"/>
        <v>22</v>
      </c>
      <c r="D356" s="35">
        <f t="shared" si="16"/>
        <v>38.5</v>
      </c>
      <c r="E356" s="15">
        <v>2</v>
      </c>
      <c r="F356" s="65">
        <v>1</v>
      </c>
      <c r="G356" s="15" t="s">
        <v>309</v>
      </c>
      <c r="H356" s="15">
        <v>44</v>
      </c>
      <c r="I356" s="15">
        <f t="shared" si="17"/>
        <v>77</v>
      </c>
      <c r="J356" s="15">
        <v>77</v>
      </c>
      <c r="K356" s="15">
        <v>0</v>
      </c>
      <c r="L356" s="15" t="s">
        <v>101</v>
      </c>
      <c r="M356" s="15" t="s">
        <v>652</v>
      </c>
    </row>
    <row r="357" spans="1:13" ht="109.8" thickBot="1" x14ac:dyDescent="0.35">
      <c r="A357" s="64" t="s">
        <v>133</v>
      </c>
      <c r="B357" s="64">
        <v>113007</v>
      </c>
      <c r="C357" s="35">
        <f t="shared" si="15"/>
        <v>395.75</v>
      </c>
      <c r="D357" s="35">
        <f t="shared" si="16"/>
        <v>426.25</v>
      </c>
      <c r="E357" s="15">
        <v>4</v>
      </c>
      <c r="F357" s="65" t="s">
        <v>299</v>
      </c>
      <c r="G357" s="15" t="s">
        <v>309</v>
      </c>
      <c r="H357" s="15">
        <v>1583</v>
      </c>
      <c r="I357" s="15">
        <f t="shared" si="17"/>
        <v>1705</v>
      </c>
      <c r="J357" s="15">
        <v>1705</v>
      </c>
      <c r="K357" s="15">
        <v>0</v>
      </c>
      <c r="L357" s="15" t="s">
        <v>101</v>
      </c>
      <c r="M357" s="15" t="s">
        <v>653</v>
      </c>
    </row>
    <row r="358" spans="1:13" ht="63" thickBot="1" x14ac:dyDescent="0.35">
      <c r="A358" s="64" t="s">
        <v>133</v>
      </c>
      <c r="B358" s="64">
        <v>113010</v>
      </c>
      <c r="C358" s="35">
        <f t="shared" si="15"/>
        <v>386.5</v>
      </c>
      <c r="D358" s="35">
        <f t="shared" si="16"/>
        <v>398.5</v>
      </c>
      <c r="E358" s="15">
        <v>2</v>
      </c>
      <c r="F358" s="65">
        <v>1</v>
      </c>
      <c r="G358" s="15" t="s">
        <v>309</v>
      </c>
      <c r="H358" s="15">
        <v>773</v>
      </c>
      <c r="I358" s="15">
        <f t="shared" si="17"/>
        <v>797</v>
      </c>
      <c r="J358" s="15">
        <v>797</v>
      </c>
      <c r="K358" s="15">
        <v>0</v>
      </c>
      <c r="L358" s="15" t="s">
        <v>101</v>
      </c>
      <c r="M358" s="15" t="s">
        <v>654</v>
      </c>
    </row>
    <row r="359" spans="1:13" ht="125.4" thickBot="1" x14ac:dyDescent="0.35">
      <c r="A359" s="64" t="s">
        <v>133</v>
      </c>
      <c r="B359" s="64">
        <v>113011</v>
      </c>
      <c r="C359" s="35">
        <f t="shared" si="15"/>
        <v>321</v>
      </c>
      <c r="D359" s="35">
        <f t="shared" si="16"/>
        <v>753</v>
      </c>
      <c r="E359" s="15">
        <v>2</v>
      </c>
      <c r="F359" s="65" t="s">
        <v>299</v>
      </c>
      <c r="G359" s="15" t="s">
        <v>309</v>
      </c>
      <c r="H359" s="15">
        <v>642</v>
      </c>
      <c r="I359" s="15">
        <f t="shared" si="17"/>
        <v>1506</v>
      </c>
      <c r="J359" s="15">
        <v>1506</v>
      </c>
      <c r="K359" s="15">
        <v>0</v>
      </c>
      <c r="L359" s="15" t="s">
        <v>101</v>
      </c>
      <c r="M359" s="15" t="s">
        <v>655</v>
      </c>
    </row>
    <row r="360" spans="1:13" ht="156.6" thickBot="1" x14ac:dyDescent="0.35">
      <c r="A360" s="64" t="s">
        <v>133</v>
      </c>
      <c r="B360" s="64">
        <v>113018</v>
      </c>
      <c r="C360" s="35">
        <f t="shared" si="15"/>
        <v>229.4</v>
      </c>
      <c r="D360" s="35">
        <f t="shared" si="16"/>
        <v>446.4</v>
      </c>
      <c r="E360" s="15">
        <v>5</v>
      </c>
      <c r="F360" s="65">
        <v>2</v>
      </c>
      <c r="G360" s="15" t="s">
        <v>309</v>
      </c>
      <c r="H360" s="15">
        <v>1147</v>
      </c>
      <c r="I360" s="15">
        <f t="shared" si="17"/>
        <v>2232</v>
      </c>
      <c r="J360" s="15">
        <v>2232</v>
      </c>
      <c r="K360" s="15">
        <v>0</v>
      </c>
      <c r="L360" s="15" t="s">
        <v>101</v>
      </c>
      <c r="M360" s="15" t="s">
        <v>656</v>
      </c>
    </row>
    <row r="361" spans="1:13" ht="16.2" thickBot="1" x14ac:dyDescent="0.35">
      <c r="A361" s="64" t="s">
        <v>133</v>
      </c>
      <c r="B361" s="64">
        <v>113012</v>
      </c>
      <c r="C361" s="35">
        <f t="shared" si="15"/>
        <v>35</v>
      </c>
      <c r="D361" s="35">
        <f t="shared" si="16"/>
        <v>47</v>
      </c>
      <c r="E361" s="15">
        <v>1</v>
      </c>
      <c r="F361" s="65" t="s">
        <v>299</v>
      </c>
      <c r="G361" s="15" t="s">
        <v>300</v>
      </c>
      <c r="H361" s="15">
        <v>35</v>
      </c>
      <c r="I361" s="15">
        <f t="shared" si="17"/>
        <v>47</v>
      </c>
      <c r="J361" s="15">
        <v>47</v>
      </c>
      <c r="K361" s="15">
        <v>0</v>
      </c>
      <c r="L361" s="15" t="s">
        <v>101</v>
      </c>
      <c r="M361" s="15" t="s">
        <v>657</v>
      </c>
    </row>
    <row r="362" spans="1:13" ht="343.8" thickBot="1" x14ac:dyDescent="0.35">
      <c r="A362" s="64" t="s">
        <v>133</v>
      </c>
      <c r="B362" s="64">
        <v>113015</v>
      </c>
      <c r="C362" s="35">
        <f t="shared" si="15"/>
        <v>1877.7142857142858</v>
      </c>
      <c r="D362" s="35">
        <f t="shared" si="16"/>
        <v>2176.4285714285716</v>
      </c>
      <c r="E362" s="15">
        <v>7</v>
      </c>
      <c r="F362" s="65">
        <v>3</v>
      </c>
      <c r="G362" s="15" t="s">
        <v>300</v>
      </c>
      <c r="H362" s="15">
        <v>13144</v>
      </c>
      <c r="I362" s="15">
        <f t="shared" si="17"/>
        <v>15235</v>
      </c>
      <c r="J362" s="15">
        <v>15235</v>
      </c>
      <c r="K362" s="15">
        <v>0</v>
      </c>
      <c r="L362" s="15" t="s">
        <v>101</v>
      </c>
      <c r="M362" s="15" t="s">
        <v>658</v>
      </c>
    </row>
    <row r="363" spans="1:13" ht="47.4" thickBot="1" x14ac:dyDescent="0.35">
      <c r="A363" s="64" t="s">
        <v>133</v>
      </c>
      <c r="B363" s="64">
        <v>113016</v>
      </c>
      <c r="C363" s="35">
        <f t="shared" si="15"/>
        <v>536</v>
      </c>
      <c r="D363" s="35">
        <f t="shared" si="16"/>
        <v>585</v>
      </c>
      <c r="E363" s="15">
        <v>1</v>
      </c>
      <c r="F363" s="65" t="s">
        <v>299</v>
      </c>
      <c r="G363" s="15" t="s">
        <v>300</v>
      </c>
      <c r="H363" s="15">
        <v>536</v>
      </c>
      <c r="I363" s="15">
        <f t="shared" si="17"/>
        <v>585</v>
      </c>
      <c r="J363" s="15">
        <v>585</v>
      </c>
      <c r="K363" s="15">
        <v>0</v>
      </c>
      <c r="L363" s="15" t="s">
        <v>101</v>
      </c>
      <c r="M363" s="15" t="s">
        <v>659</v>
      </c>
    </row>
    <row r="364" spans="1:13" ht="125.4" thickBot="1" x14ac:dyDescent="0.35">
      <c r="A364" s="64" t="s">
        <v>133</v>
      </c>
      <c r="B364" s="64">
        <v>113002</v>
      </c>
      <c r="C364" s="35">
        <f t="shared" si="15"/>
        <v>666.33333333333337</v>
      </c>
      <c r="D364" s="35">
        <f t="shared" si="16"/>
        <v>1204.6666666666667</v>
      </c>
      <c r="E364" s="15">
        <v>3</v>
      </c>
      <c r="F364" s="65">
        <v>2</v>
      </c>
      <c r="G364" s="15" t="s">
        <v>300</v>
      </c>
      <c r="H364" s="15">
        <v>1999</v>
      </c>
      <c r="I364" s="15">
        <f t="shared" si="17"/>
        <v>3614</v>
      </c>
      <c r="J364" s="15">
        <v>3614</v>
      </c>
      <c r="K364" s="15">
        <v>0</v>
      </c>
      <c r="L364" s="15" t="s">
        <v>101</v>
      </c>
      <c r="M364" s="15" t="s">
        <v>660</v>
      </c>
    </row>
    <row r="365" spans="1:13" ht="47.4" thickBot="1" x14ac:dyDescent="0.35">
      <c r="A365" s="64" t="s">
        <v>133</v>
      </c>
      <c r="B365" s="64">
        <v>113008</v>
      </c>
      <c r="C365" s="35">
        <f t="shared" si="15"/>
        <v>125</v>
      </c>
      <c r="D365" s="35">
        <f t="shared" si="16"/>
        <v>142</v>
      </c>
      <c r="E365" s="15">
        <v>1</v>
      </c>
      <c r="F365" s="65" t="s">
        <v>299</v>
      </c>
      <c r="G365" s="15" t="s">
        <v>300</v>
      </c>
      <c r="H365" s="15">
        <v>125</v>
      </c>
      <c r="I365" s="15">
        <f t="shared" si="17"/>
        <v>142</v>
      </c>
      <c r="J365" s="15">
        <v>142</v>
      </c>
      <c r="K365" s="15">
        <v>0</v>
      </c>
      <c r="L365" s="15" t="s">
        <v>101</v>
      </c>
      <c r="M365" s="15" t="s">
        <v>661</v>
      </c>
    </row>
    <row r="366" spans="1:13" ht="16.2" thickBot="1" x14ac:dyDescent="0.35">
      <c r="A366" s="64" t="s">
        <v>133</v>
      </c>
      <c r="B366" s="64">
        <v>115002</v>
      </c>
      <c r="C366" s="35">
        <f t="shared" si="15"/>
        <v>76</v>
      </c>
      <c r="D366" s="35">
        <f t="shared" si="16"/>
        <v>106</v>
      </c>
      <c r="E366" s="15">
        <v>1</v>
      </c>
      <c r="F366" s="65" t="s">
        <v>299</v>
      </c>
      <c r="G366" s="15" t="s">
        <v>309</v>
      </c>
      <c r="H366" s="15">
        <v>76</v>
      </c>
      <c r="I366" s="15">
        <f t="shared" si="17"/>
        <v>106</v>
      </c>
      <c r="J366" s="15">
        <v>106</v>
      </c>
      <c r="K366" s="15">
        <v>0</v>
      </c>
      <c r="L366" s="15" t="s">
        <v>26</v>
      </c>
      <c r="M366" s="15" t="s">
        <v>662</v>
      </c>
    </row>
    <row r="367" spans="1:13" ht="31.8" thickBot="1" x14ac:dyDescent="0.35">
      <c r="A367" s="64" t="s">
        <v>133</v>
      </c>
      <c r="B367" s="64">
        <v>115003</v>
      </c>
      <c r="C367" s="35">
        <f t="shared" si="15"/>
        <v>106</v>
      </c>
      <c r="D367" s="35">
        <f t="shared" si="16"/>
        <v>138</v>
      </c>
      <c r="E367" s="15">
        <v>1</v>
      </c>
      <c r="F367" s="65" t="s">
        <v>299</v>
      </c>
      <c r="G367" s="15" t="s">
        <v>309</v>
      </c>
      <c r="H367" s="15">
        <v>106</v>
      </c>
      <c r="I367" s="15">
        <f t="shared" si="17"/>
        <v>138</v>
      </c>
      <c r="J367" s="15">
        <v>138</v>
      </c>
      <c r="K367" s="15">
        <v>0</v>
      </c>
      <c r="L367" s="15" t="s">
        <v>26</v>
      </c>
      <c r="M367" s="15" t="s">
        <v>663</v>
      </c>
    </row>
    <row r="368" spans="1:13" ht="409.6" thickBot="1" x14ac:dyDescent="0.35">
      <c r="A368" s="64" t="s">
        <v>133</v>
      </c>
      <c r="B368" s="64">
        <v>115022</v>
      </c>
      <c r="C368" s="35">
        <f t="shared" si="15"/>
        <v>4158.090909090909</v>
      </c>
      <c r="D368" s="35">
        <f t="shared" si="16"/>
        <v>5078.090909090909</v>
      </c>
      <c r="E368" s="15">
        <v>11</v>
      </c>
      <c r="F368" s="65" t="s">
        <v>299</v>
      </c>
      <c r="G368" s="15" t="s">
        <v>300</v>
      </c>
      <c r="H368" s="15">
        <v>45739</v>
      </c>
      <c r="I368" s="15">
        <f t="shared" si="17"/>
        <v>55859</v>
      </c>
      <c r="J368" s="15">
        <v>55859</v>
      </c>
      <c r="K368" s="15">
        <v>0</v>
      </c>
      <c r="L368" s="15" t="s">
        <v>26</v>
      </c>
      <c r="M368" s="15" t="s">
        <v>664</v>
      </c>
    </row>
    <row r="369" spans="1:13" ht="31.8" thickBot="1" x14ac:dyDescent="0.35">
      <c r="A369" s="64" t="s">
        <v>133</v>
      </c>
      <c r="B369" s="64">
        <v>115006</v>
      </c>
      <c r="C369" s="35">
        <f t="shared" si="15"/>
        <v>244.5</v>
      </c>
      <c r="D369" s="35">
        <f t="shared" si="16"/>
        <v>277.5</v>
      </c>
      <c r="E369" s="15">
        <v>2</v>
      </c>
      <c r="F369" s="65" t="s">
        <v>299</v>
      </c>
      <c r="G369" s="15" t="s">
        <v>309</v>
      </c>
      <c r="H369" s="15">
        <v>489</v>
      </c>
      <c r="I369" s="15">
        <f t="shared" si="17"/>
        <v>555</v>
      </c>
      <c r="J369" s="15">
        <v>555</v>
      </c>
      <c r="K369" s="15">
        <v>0</v>
      </c>
      <c r="L369" s="15" t="s">
        <v>26</v>
      </c>
      <c r="M369" s="15" t="s">
        <v>665</v>
      </c>
    </row>
    <row r="370" spans="1:13" ht="78.599999999999994" thickBot="1" x14ac:dyDescent="0.35">
      <c r="A370" s="64" t="s">
        <v>133</v>
      </c>
      <c r="B370" s="64">
        <v>115016</v>
      </c>
      <c r="C370" s="35">
        <f t="shared" si="15"/>
        <v>564.5</v>
      </c>
      <c r="D370" s="35">
        <f t="shared" si="16"/>
        <v>859</v>
      </c>
      <c r="E370" s="15">
        <v>2</v>
      </c>
      <c r="F370" s="65" t="s">
        <v>299</v>
      </c>
      <c r="G370" s="15" t="s">
        <v>300</v>
      </c>
      <c r="H370" s="15">
        <v>1129</v>
      </c>
      <c r="I370" s="15">
        <f t="shared" si="17"/>
        <v>1718</v>
      </c>
      <c r="J370" s="15">
        <v>1718</v>
      </c>
      <c r="K370" s="15">
        <v>0</v>
      </c>
      <c r="L370" s="15" t="s">
        <v>26</v>
      </c>
      <c r="M370" s="15" t="s">
        <v>666</v>
      </c>
    </row>
    <row r="371" spans="1:13" ht="31.8" thickBot="1" x14ac:dyDescent="0.35">
      <c r="A371" s="64" t="s">
        <v>133</v>
      </c>
      <c r="B371" s="64">
        <v>102009</v>
      </c>
      <c r="C371" s="35">
        <f t="shared" si="15"/>
        <v>4</v>
      </c>
      <c r="D371" s="35">
        <f t="shared" si="16"/>
        <v>3</v>
      </c>
      <c r="E371" s="15">
        <v>1</v>
      </c>
      <c r="F371" s="65" t="s">
        <v>299</v>
      </c>
      <c r="G371" s="15" t="s">
        <v>300</v>
      </c>
      <c r="H371" s="15">
        <v>4</v>
      </c>
      <c r="I371" s="15">
        <f t="shared" si="17"/>
        <v>3</v>
      </c>
      <c r="J371" s="15">
        <v>3</v>
      </c>
      <c r="K371" s="15">
        <v>0</v>
      </c>
      <c r="L371" s="15" t="s">
        <v>622</v>
      </c>
      <c r="M371" s="15" t="s">
        <v>667</v>
      </c>
    </row>
    <row r="372" spans="1:13" ht="31.8" thickBot="1" x14ac:dyDescent="0.35">
      <c r="A372" s="64" t="s">
        <v>133</v>
      </c>
      <c r="B372" s="64">
        <v>115010</v>
      </c>
      <c r="C372" s="35">
        <f t="shared" si="15"/>
        <v>53.5</v>
      </c>
      <c r="D372" s="35">
        <f t="shared" si="16"/>
        <v>62</v>
      </c>
      <c r="E372" s="15">
        <v>2</v>
      </c>
      <c r="F372" s="65" t="s">
        <v>299</v>
      </c>
      <c r="G372" s="15" t="s">
        <v>309</v>
      </c>
      <c r="H372" s="15">
        <v>107</v>
      </c>
      <c r="I372" s="15">
        <f t="shared" si="17"/>
        <v>124</v>
      </c>
      <c r="J372" s="15">
        <v>124</v>
      </c>
      <c r="K372" s="15">
        <v>0</v>
      </c>
      <c r="L372" s="15" t="s">
        <v>26</v>
      </c>
      <c r="M372" s="15" t="s">
        <v>668</v>
      </c>
    </row>
    <row r="373" spans="1:13" ht="16.2" thickBot="1" x14ac:dyDescent="0.35">
      <c r="A373" s="64" t="s">
        <v>133</v>
      </c>
      <c r="B373" s="64">
        <v>102010</v>
      </c>
      <c r="C373" s="35">
        <f t="shared" si="15"/>
        <v>61</v>
      </c>
      <c r="D373" s="35">
        <f t="shared" si="16"/>
        <v>79</v>
      </c>
      <c r="E373" s="15">
        <v>1</v>
      </c>
      <c r="F373" s="65" t="s">
        <v>299</v>
      </c>
      <c r="G373" s="15" t="s">
        <v>300</v>
      </c>
      <c r="H373" s="15">
        <v>61</v>
      </c>
      <c r="I373" s="15">
        <f t="shared" si="17"/>
        <v>79</v>
      </c>
      <c r="J373" s="15">
        <v>79</v>
      </c>
      <c r="K373" s="15">
        <v>0</v>
      </c>
      <c r="L373" s="15" t="s">
        <v>26</v>
      </c>
      <c r="M373" s="15" t="s">
        <v>669</v>
      </c>
    </row>
    <row r="374" spans="1:13" ht="141" thickBot="1" x14ac:dyDescent="0.35">
      <c r="A374" s="64" t="s">
        <v>133</v>
      </c>
      <c r="B374" s="64">
        <v>115015</v>
      </c>
      <c r="C374" s="35">
        <f t="shared" si="15"/>
        <v>301.75</v>
      </c>
      <c r="D374" s="35">
        <f t="shared" si="16"/>
        <v>477.25</v>
      </c>
      <c r="E374" s="15">
        <v>4</v>
      </c>
      <c r="F374" s="65" t="s">
        <v>299</v>
      </c>
      <c r="G374" s="15" t="s">
        <v>309</v>
      </c>
      <c r="H374" s="15">
        <v>1207</v>
      </c>
      <c r="I374" s="15">
        <f t="shared" si="17"/>
        <v>1909</v>
      </c>
      <c r="J374" s="15">
        <v>1909</v>
      </c>
      <c r="K374" s="15">
        <v>0</v>
      </c>
      <c r="L374" s="15" t="s">
        <v>26</v>
      </c>
      <c r="M374" s="15" t="s">
        <v>670</v>
      </c>
    </row>
    <row r="375" spans="1:13" ht="63" thickBot="1" x14ac:dyDescent="0.35">
      <c r="A375" s="64" t="s">
        <v>133</v>
      </c>
      <c r="B375" s="64">
        <v>115019</v>
      </c>
      <c r="C375" s="35">
        <f t="shared" si="15"/>
        <v>282</v>
      </c>
      <c r="D375" s="35">
        <f t="shared" si="16"/>
        <v>566</v>
      </c>
      <c r="E375" s="15">
        <v>2</v>
      </c>
      <c r="F375" s="65" t="s">
        <v>299</v>
      </c>
      <c r="G375" s="15" t="s">
        <v>309</v>
      </c>
      <c r="H375" s="15">
        <v>564</v>
      </c>
      <c r="I375" s="15">
        <f t="shared" si="17"/>
        <v>1132</v>
      </c>
      <c r="J375" s="15">
        <v>1132</v>
      </c>
      <c r="K375" s="15">
        <v>0</v>
      </c>
      <c r="L375" s="15" t="s">
        <v>26</v>
      </c>
      <c r="M375" s="15" t="s">
        <v>671</v>
      </c>
    </row>
    <row r="376" spans="1:13" ht="78.599999999999994" thickBot="1" x14ac:dyDescent="0.35">
      <c r="A376" s="64" t="s">
        <v>133</v>
      </c>
      <c r="B376" s="64">
        <v>115014</v>
      </c>
      <c r="C376" s="35">
        <f t="shared" si="15"/>
        <v>2777</v>
      </c>
      <c r="D376" s="35">
        <f t="shared" si="16"/>
        <v>3018</v>
      </c>
      <c r="E376" s="15">
        <v>1</v>
      </c>
      <c r="F376" s="65" t="s">
        <v>299</v>
      </c>
      <c r="G376" s="15" t="s">
        <v>300</v>
      </c>
      <c r="H376" s="15">
        <v>2777</v>
      </c>
      <c r="I376" s="15">
        <f t="shared" si="17"/>
        <v>3018</v>
      </c>
      <c r="J376" s="15">
        <v>3018</v>
      </c>
      <c r="K376" s="15">
        <v>0</v>
      </c>
      <c r="L376" s="15" t="s">
        <v>26</v>
      </c>
      <c r="M376" s="15" t="s">
        <v>672</v>
      </c>
    </row>
    <row r="377" spans="1:13" ht="31.8" thickBot="1" x14ac:dyDescent="0.35">
      <c r="A377" s="64" t="s">
        <v>133</v>
      </c>
      <c r="B377" s="64">
        <v>115018</v>
      </c>
      <c r="C377" s="35">
        <f t="shared" si="15"/>
        <v>180</v>
      </c>
      <c r="D377" s="35">
        <f t="shared" si="16"/>
        <v>258.5</v>
      </c>
      <c r="E377" s="15">
        <v>2</v>
      </c>
      <c r="F377" s="65" t="s">
        <v>299</v>
      </c>
      <c r="G377" s="15" t="s">
        <v>309</v>
      </c>
      <c r="H377" s="15">
        <v>360</v>
      </c>
      <c r="I377" s="15">
        <f t="shared" si="17"/>
        <v>517</v>
      </c>
      <c r="J377" s="15">
        <v>517</v>
      </c>
      <c r="K377" s="15">
        <v>0</v>
      </c>
      <c r="L377" s="15" t="s">
        <v>26</v>
      </c>
      <c r="M377" s="15" t="s">
        <v>673</v>
      </c>
    </row>
    <row r="378" spans="1:13" ht="63" thickBot="1" x14ac:dyDescent="0.35">
      <c r="A378" s="64" t="s">
        <v>133</v>
      </c>
      <c r="B378" s="64">
        <v>118007</v>
      </c>
      <c r="C378" s="35">
        <f t="shared" si="15"/>
        <v>1969.5</v>
      </c>
      <c r="D378" s="35">
        <f t="shared" si="16"/>
        <v>2430</v>
      </c>
      <c r="E378" s="15">
        <v>2</v>
      </c>
      <c r="F378" s="65" t="s">
        <v>299</v>
      </c>
      <c r="G378" s="15" t="s">
        <v>300</v>
      </c>
      <c r="H378" s="15">
        <v>3939</v>
      </c>
      <c r="I378" s="15">
        <f t="shared" si="17"/>
        <v>4860</v>
      </c>
      <c r="J378" s="15">
        <v>4860</v>
      </c>
      <c r="K378" s="15">
        <v>0</v>
      </c>
      <c r="L378" s="15" t="s">
        <v>85</v>
      </c>
      <c r="M378" s="15" t="s">
        <v>674</v>
      </c>
    </row>
    <row r="379" spans="1:13" ht="31.8" thickBot="1" x14ac:dyDescent="0.35">
      <c r="A379" s="64" t="s">
        <v>133</v>
      </c>
      <c r="B379" s="64">
        <v>118151</v>
      </c>
      <c r="C379" s="35">
        <f t="shared" si="15"/>
        <v>1</v>
      </c>
      <c r="D379" s="35">
        <f t="shared" si="16"/>
        <v>2</v>
      </c>
      <c r="E379" s="15">
        <v>1</v>
      </c>
      <c r="F379" s="65" t="s">
        <v>299</v>
      </c>
      <c r="G379" s="15" t="s">
        <v>300</v>
      </c>
      <c r="H379" s="15">
        <v>1</v>
      </c>
      <c r="I379" s="15">
        <f t="shared" si="17"/>
        <v>2</v>
      </c>
      <c r="J379" s="15">
        <v>2</v>
      </c>
      <c r="K379" s="15">
        <v>0</v>
      </c>
      <c r="L379" s="15" t="s">
        <v>85</v>
      </c>
      <c r="M379" s="15" t="s">
        <v>675</v>
      </c>
    </row>
    <row r="380" spans="1:13" ht="141" thickBot="1" x14ac:dyDescent="0.35">
      <c r="A380" s="64" t="s">
        <v>133</v>
      </c>
      <c r="B380" s="64">
        <v>109023</v>
      </c>
      <c r="C380" s="35">
        <f t="shared" si="15"/>
        <v>1230.7777777777778</v>
      </c>
      <c r="D380" s="35">
        <f t="shared" si="16"/>
        <v>1510.3333333333333</v>
      </c>
      <c r="E380" s="15">
        <v>9</v>
      </c>
      <c r="F380" s="65" t="s">
        <v>299</v>
      </c>
      <c r="G380" s="15" t="s">
        <v>300</v>
      </c>
      <c r="H380" s="15">
        <v>11077</v>
      </c>
      <c r="I380" s="15">
        <f t="shared" si="17"/>
        <v>13593</v>
      </c>
      <c r="J380" s="15">
        <v>13593</v>
      </c>
      <c r="K380" s="15">
        <v>0</v>
      </c>
      <c r="L380" s="15" t="s">
        <v>97</v>
      </c>
      <c r="M380" s="15" t="s">
        <v>676</v>
      </c>
    </row>
    <row r="381" spans="1:13" ht="409.6" thickBot="1" x14ac:dyDescent="0.35">
      <c r="A381" s="64" t="s">
        <v>133</v>
      </c>
      <c r="B381" s="64">
        <v>112098</v>
      </c>
      <c r="C381" s="35">
        <f t="shared" si="15"/>
        <v>5448.04347826087</v>
      </c>
      <c r="D381" s="35">
        <f t="shared" si="16"/>
        <v>7003.695652173913</v>
      </c>
      <c r="E381" s="15">
        <v>23</v>
      </c>
      <c r="F381" s="65">
        <v>1</v>
      </c>
      <c r="G381" s="15" t="s">
        <v>300</v>
      </c>
      <c r="H381" s="15">
        <v>125305</v>
      </c>
      <c r="I381" s="15">
        <f t="shared" si="17"/>
        <v>161085</v>
      </c>
      <c r="J381" s="15">
        <v>161085</v>
      </c>
      <c r="K381" s="15">
        <v>0</v>
      </c>
      <c r="L381" s="15" t="s">
        <v>95</v>
      </c>
      <c r="M381" s="15" t="s">
        <v>677</v>
      </c>
    </row>
    <row r="382" spans="1:13" ht="409.6" thickBot="1" x14ac:dyDescent="0.35">
      <c r="A382" s="64" t="s">
        <v>133</v>
      </c>
      <c r="B382" s="64">
        <v>112034</v>
      </c>
      <c r="C382" s="35">
        <f t="shared" si="15"/>
        <v>10152.375</v>
      </c>
      <c r="D382" s="35">
        <f t="shared" si="16"/>
        <v>11117.125</v>
      </c>
      <c r="E382" s="15">
        <v>8</v>
      </c>
      <c r="F382" s="65" t="s">
        <v>299</v>
      </c>
      <c r="G382" s="15" t="s">
        <v>300</v>
      </c>
      <c r="H382" s="15">
        <v>81219</v>
      </c>
      <c r="I382" s="15">
        <f t="shared" si="17"/>
        <v>88937</v>
      </c>
      <c r="J382" s="15">
        <v>88937</v>
      </c>
      <c r="K382" s="15">
        <v>0</v>
      </c>
      <c r="L382" s="15" t="s">
        <v>95</v>
      </c>
      <c r="M382" s="15" t="s">
        <v>678</v>
      </c>
    </row>
    <row r="383" spans="1:13" ht="312.60000000000002" thickBot="1" x14ac:dyDescent="0.35">
      <c r="A383" s="64" t="s">
        <v>133</v>
      </c>
      <c r="B383" s="64">
        <v>112033</v>
      </c>
      <c r="C383" s="35">
        <f t="shared" si="15"/>
        <v>376.28571428571428</v>
      </c>
      <c r="D383" s="35">
        <f t="shared" si="16"/>
        <v>581</v>
      </c>
      <c r="E383" s="15">
        <v>7</v>
      </c>
      <c r="F383" s="65" t="s">
        <v>299</v>
      </c>
      <c r="G383" s="15" t="s">
        <v>309</v>
      </c>
      <c r="H383" s="15">
        <v>2634</v>
      </c>
      <c r="I383" s="15">
        <f t="shared" si="17"/>
        <v>4067</v>
      </c>
      <c r="J383" s="15">
        <v>4067</v>
      </c>
      <c r="K383" s="15">
        <v>0</v>
      </c>
      <c r="L383" s="15" t="s">
        <v>95</v>
      </c>
      <c r="M383" s="15" t="s">
        <v>679</v>
      </c>
    </row>
    <row r="384" spans="1:13" ht="156.6" thickBot="1" x14ac:dyDescent="0.35">
      <c r="A384" s="64" t="s">
        <v>133</v>
      </c>
      <c r="B384" s="64">
        <v>111011</v>
      </c>
      <c r="C384" s="35">
        <f t="shared" si="15"/>
        <v>1366.75</v>
      </c>
      <c r="D384" s="35">
        <f t="shared" si="16"/>
        <v>1993.5</v>
      </c>
      <c r="E384" s="15">
        <v>4</v>
      </c>
      <c r="F384" s="65" t="s">
        <v>299</v>
      </c>
      <c r="G384" s="15" t="s">
        <v>300</v>
      </c>
      <c r="H384" s="15">
        <v>5467</v>
      </c>
      <c r="I384" s="15">
        <f t="shared" si="17"/>
        <v>7974</v>
      </c>
      <c r="J384" s="15">
        <v>7974</v>
      </c>
      <c r="K384" s="15">
        <v>0</v>
      </c>
      <c r="L384" s="15" t="s">
        <v>94</v>
      </c>
      <c r="M384" s="15" t="s">
        <v>680</v>
      </c>
    </row>
    <row r="385" spans="1:13" ht="109.8" thickBot="1" x14ac:dyDescent="0.35">
      <c r="A385" s="64" t="s">
        <v>133</v>
      </c>
      <c r="B385" s="64">
        <v>111009</v>
      </c>
      <c r="C385" s="35">
        <f t="shared" si="15"/>
        <v>80</v>
      </c>
      <c r="D385" s="35">
        <f t="shared" si="16"/>
        <v>114.42857142857143</v>
      </c>
      <c r="E385" s="15">
        <v>7</v>
      </c>
      <c r="F385" s="65">
        <v>1</v>
      </c>
      <c r="G385" s="15" t="s">
        <v>300</v>
      </c>
      <c r="H385" s="15">
        <v>560</v>
      </c>
      <c r="I385" s="15">
        <f t="shared" si="17"/>
        <v>801</v>
      </c>
      <c r="J385" s="15">
        <v>801</v>
      </c>
      <c r="K385" s="15">
        <v>0</v>
      </c>
      <c r="L385" s="15" t="s">
        <v>94</v>
      </c>
      <c r="M385" s="15" t="s">
        <v>681</v>
      </c>
    </row>
    <row r="386" spans="1:13" ht="47.4" thickBot="1" x14ac:dyDescent="0.35">
      <c r="A386" s="64" t="s">
        <v>133</v>
      </c>
      <c r="B386" s="64">
        <v>116018</v>
      </c>
      <c r="C386" s="35">
        <f t="shared" si="15"/>
        <v>249.83333333333334</v>
      </c>
      <c r="D386" s="35">
        <f t="shared" si="16"/>
        <v>279.33333333333331</v>
      </c>
      <c r="E386" s="15">
        <v>6</v>
      </c>
      <c r="F386" s="65" t="s">
        <v>299</v>
      </c>
      <c r="G386" s="15" t="s">
        <v>309</v>
      </c>
      <c r="H386" s="15">
        <v>1499</v>
      </c>
      <c r="I386" s="15">
        <f t="shared" si="17"/>
        <v>1676</v>
      </c>
      <c r="J386" s="15">
        <v>1676</v>
      </c>
      <c r="K386" s="15">
        <v>0</v>
      </c>
      <c r="L386" s="15" t="s">
        <v>98</v>
      </c>
      <c r="M386" s="15" t="s">
        <v>682</v>
      </c>
    </row>
    <row r="387" spans="1:13" ht="47.4" thickBot="1" x14ac:dyDescent="0.35">
      <c r="A387" s="64" t="s">
        <v>133</v>
      </c>
      <c r="B387" s="64">
        <v>116021</v>
      </c>
      <c r="C387" s="35">
        <f t="shared" si="15"/>
        <v>388.83333333333331</v>
      </c>
      <c r="D387" s="35">
        <f t="shared" si="16"/>
        <v>473.16666666666669</v>
      </c>
      <c r="E387" s="15">
        <v>6</v>
      </c>
      <c r="F387" s="65" t="s">
        <v>299</v>
      </c>
      <c r="G387" s="15" t="s">
        <v>309</v>
      </c>
      <c r="H387" s="15">
        <v>2333</v>
      </c>
      <c r="I387" s="15">
        <f t="shared" si="17"/>
        <v>2839</v>
      </c>
      <c r="J387" s="15">
        <v>2839</v>
      </c>
      <c r="K387" s="15">
        <v>0</v>
      </c>
      <c r="L387" s="15" t="s">
        <v>98</v>
      </c>
      <c r="M387" s="15" t="s">
        <v>683</v>
      </c>
    </row>
    <row r="388" spans="1:13" ht="16.2" thickBot="1" x14ac:dyDescent="0.35">
      <c r="A388" s="64" t="s">
        <v>133</v>
      </c>
      <c r="B388" s="64">
        <v>116016</v>
      </c>
      <c r="C388" s="35">
        <f t="shared" si="15"/>
        <v>120</v>
      </c>
      <c r="D388" s="35">
        <f t="shared" si="16"/>
        <v>134.5</v>
      </c>
      <c r="E388" s="15">
        <v>2</v>
      </c>
      <c r="F388" s="65" t="s">
        <v>299</v>
      </c>
      <c r="G388" s="15" t="s">
        <v>309</v>
      </c>
      <c r="H388" s="15">
        <v>240</v>
      </c>
      <c r="I388" s="15">
        <f t="shared" si="17"/>
        <v>269</v>
      </c>
      <c r="J388" s="15">
        <v>269</v>
      </c>
      <c r="K388" s="15">
        <v>0</v>
      </c>
      <c r="L388" s="15" t="s">
        <v>98</v>
      </c>
      <c r="M388" s="15" t="s">
        <v>684</v>
      </c>
    </row>
    <row r="389" spans="1:13" ht="16.2" thickBot="1" x14ac:dyDescent="0.35">
      <c r="A389" s="64" t="s">
        <v>133</v>
      </c>
      <c r="B389" s="64">
        <v>116013</v>
      </c>
      <c r="C389" s="35">
        <f t="shared" si="15"/>
        <v>66</v>
      </c>
      <c r="D389" s="35">
        <f t="shared" si="16"/>
        <v>68</v>
      </c>
      <c r="E389" s="15">
        <v>1</v>
      </c>
      <c r="F389" s="65" t="s">
        <v>299</v>
      </c>
      <c r="G389" s="15" t="s">
        <v>309</v>
      </c>
      <c r="H389" s="15">
        <v>66</v>
      </c>
      <c r="I389" s="15">
        <f t="shared" si="17"/>
        <v>68</v>
      </c>
      <c r="J389" s="15">
        <v>68</v>
      </c>
      <c r="K389" s="15">
        <v>0</v>
      </c>
      <c r="L389" s="15" t="s">
        <v>98</v>
      </c>
      <c r="M389" s="15" t="s">
        <v>685</v>
      </c>
    </row>
    <row r="390" spans="1:13" ht="31.8" thickBot="1" x14ac:dyDescent="0.35">
      <c r="A390" s="64" t="s">
        <v>133</v>
      </c>
      <c r="B390" s="64">
        <v>116019</v>
      </c>
      <c r="C390" s="35">
        <f t="shared" si="15"/>
        <v>130</v>
      </c>
      <c r="D390" s="35">
        <f t="shared" si="16"/>
        <v>141</v>
      </c>
      <c r="E390" s="15">
        <v>1</v>
      </c>
      <c r="F390" s="65" t="s">
        <v>299</v>
      </c>
      <c r="G390" s="15" t="s">
        <v>309</v>
      </c>
      <c r="H390" s="15">
        <v>130</v>
      </c>
      <c r="I390" s="15">
        <f t="shared" si="17"/>
        <v>141</v>
      </c>
      <c r="J390" s="15">
        <v>141</v>
      </c>
      <c r="K390" s="15">
        <v>0</v>
      </c>
      <c r="L390" s="15" t="s">
        <v>98</v>
      </c>
      <c r="M390" s="15" t="s">
        <v>686</v>
      </c>
    </row>
    <row r="391" spans="1:13" ht="31.8" thickBot="1" x14ac:dyDescent="0.35">
      <c r="A391" s="64" t="s">
        <v>133</v>
      </c>
      <c r="B391" s="64">
        <v>116017</v>
      </c>
      <c r="C391" s="35">
        <f t="shared" si="15"/>
        <v>156</v>
      </c>
      <c r="D391" s="35">
        <f t="shared" si="16"/>
        <v>172</v>
      </c>
      <c r="E391" s="15">
        <v>1</v>
      </c>
      <c r="F391" s="65" t="s">
        <v>299</v>
      </c>
      <c r="G391" s="15" t="s">
        <v>309</v>
      </c>
      <c r="H391" s="15">
        <v>156</v>
      </c>
      <c r="I391" s="15">
        <f t="shared" si="17"/>
        <v>172</v>
      </c>
      <c r="J391" s="15">
        <v>172</v>
      </c>
      <c r="K391" s="15">
        <v>0</v>
      </c>
      <c r="L391" s="15" t="s">
        <v>98</v>
      </c>
      <c r="M391" s="15" t="s">
        <v>687</v>
      </c>
    </row>
    <row r="392" spans="1:13" ht="47.4" thickBot="1" x14ac:dyDescent="0.35">
      <c r="A392" s="64" t="s">
        <v>133</v>
      </c>
      <c r="B392" s="64">
        <v>116015</v>
      </c>
      <c r="C392" s="35">
        <f t="shared" ref="C392:C443" si="18">H392/E392</f>
        <v>220</v>
      </c>
      <c r="D392" s="35">
        <f t="shared" ref="D392:D443" si="19">I392/E392</f>
        <v>271</v>
      </c>
      <c r="E392" s="15">
        <v>4</v>
      </c>
      <c r="F392" s="65" t="s">
        <v>299</v>
      </c>
      <c r="G392" s="15" t="s">
        <v>309</v>
      </c>
      <c r="H392" s="15">
        <v>880</v>
      </c>
      <c r="I392" s="15">
        <f t="shared" si="17"/>
        <v>1084</v>
      </c>
      <c r="J392" s="15">
        <v>1084</v>
      </c>
      <c r="K392" s="15">
        <v>0</v>
      </c>
      <c r="L392" s="15" t="s">
        <v>98</v>
      </c>
      <c r="M392" s="15" t="s">
        <v>688</v>
      </c>
    </row>
    <row r="393" spans="1:13" ht="31.8" thickBot="1" x14ac:dyDescent="0.35">
      <c r="A393" s="64" t="s">
        <v>133</v>
      </c>
      <c r="B393" s="64">
        <v>116012</v>
      </c>
      <c r="C393" s="35">
        <f t="shared" si="18"/>
        <v>336</v>
      </c>
      <c r="D393" s="35">
        <f t="shared" si="19"/>
        <v>394</v>
      </c>
      <c r="E393" s="15">
        <v>1</v>
      </c>
      <c r="F393" s="65" t="s">
        <v>299</v>
      </c>
      <c r="G393" s="15" t="s">
        <v>309</v>
      </c>
      <c r="H393" s="15">
        <v>336</v>
      </c>
      <c r="I393" s="15">
        <f t="shared" ref="I393:I443" si="20">SUM(J393:K393)</f>
        <v>394</v>
      </c>
      <c r="J393" s="15">
        <v>394</v>
      </c>
      <c r="K393" s="15">
        <v>0</v>
      </c>
      <c r="L393" s="15" t="s">
        <v>98</v>
      </c>
      <c r="M393" s="15" t="s">
        <v>689</v>
      </c>
    </row>
    <row r="394" spans="1:13" ht="109.8" thickBot="1" x14ac:dyDescent="0.35">
      <c r="A394" s="64" t="s">
        <v>133</v>
      </c>
      <c r="B394" s="64">
        <v>108016</v>
      </c>
      <c r="C394" s="35">
        <f t="shared" si="18"/>
        <v>727.75</v>
      </c>
      <c r="D394" s="35">
        <f t="shared" si="19"/>
        <v>907.5</v>
      </c>
      <c r="E394" s="15">
        <v>4</v>
      </c>
      <c r="F394" s="65" t="s">
        <v>299</v>
      </c>
      <c r="G394" s="15" t="s">
        <v>300</v>
      </c>
      <c r="H394" s="15">
        <v>2911</v>
      </c>
      <c r="I394" s="15">
        <f t="shared" si="20"/>
        <v>3630</v>
      </c>
      <c r="J394" s="15">
        <v>3630</v>
      </c>
      <c r="K394" s="15">
        <v>0</v>
      </c>
      <c r="L394" s="15" t="s">
        <v>92</v>
      </c>
      <c r="M394" s="15" t="s">
        <v>690</v>
      </c>
    </row>
    <row r="395" spans="1:13" ht="78.599999999999994" thickBot="1" x14ac:dyDescent="0.35">
      <c r="A395" s="64" t="s">
        <v>133</v>
      </c>
      <c r="B395" s="64">
        <v>111013</v>
      </c>
      <c r="C395" s="35">
        <f t="shared" si="18"/>
        <v>208</v>
      </c>
      <c r="D395" s="35">
        <f t="shared" si="19"/>
        <v>246.25</v>
      </c>
      <c r="E395" s="15">
        <v>4</v>
      </c>
      <c r="F395" s="65" t="s">
        <v>299</v>
      </c>
      <c r="G395" s="15" t="s">
        <v>300</v>
      </c>
      <c r="H395" s="15">
        <v>832</v>
      </c>
      <c r="I395" s="15">
        <f t="shared" si="20"/>
        <v>985</v>
      </c>
      <c r="J395" s="15">
        <v>985</v>
      </c>
      <c r="K395" s="15">
        <v>0</v>
      </c>
      <c r="L395" s="15" t="s">
        <v>86</v>
      </c>
      <c r="M395" s="15" t="s">
        <v>691</v>
      </c>
    </row>
    <row r="396" spans="1:13" ht="328.2" thickBot="1" x14ac:dyDescent="0.35">
      <c r="A396" s="64" t="s">
        <v>133</v>
      </c>
      <c r="B396" s="64" t="s">
        <v>692</v>
      </c>
      <c r="C396" s="35">
        <f t="shared" si="18"/>
        <v>131.25</v>
      </c>
      <c r="D396" s="35">
        <f t="shared" si="19"/>
        <v>373</v>
      </c>
      <c r="E396" s="15">
        <v>4</v>
      </c>
      <c r="F396" s="65" t="s">
        <v>299</v>
      </c>
      <c r="G396" s="15" t="s">
        <v>300</v>
      </c>
      <c r="H396" s="15">
        <v>525</v>
      </c>
      <c r="I396" s="15">
        <f t="shared" si="20"/>
        <v>1492</v>
      </c>
      <c r="J396" s="15">
        <v>1492</v>
      </c>
      <c r="K396" s="15">
        <v>0</v>
      </c>
      <c r="L396" s="15" t="s">
        <v>693</v>
      </c>
      <c r="M396" s="15" t="s">
        <v>694</v>
      </c>
    </row>
    <row r="397" spans="1:13" ht="31.8" thickBot="1" x14ac:dyDescent="0.35">
      <c r="A397" s="64" t="s">
        <v>133</v>
      </c>
      <c r="B397" s="64" t="s">
        <v>695</v>
      </c>
      <c r="C397" s="35">
        <f t="shared" si="18"/>
        <v>243</v>
      </c>
      <c r="D397" s="35">
        <f t="shared" si="19"/>
        <v>218</v>
      </c>
      <c r="E397" s="15">
        <v>1</v>
      </c>
      <c r="F397" s="65" t="s">
        <v>299</v>
      </c>
      <c r="G397" s="15" t="s">
        <v>300</v>
      </c>
      <c r="H397" s="15">
        <v>243</v>
      </c>
      <c r="I397" s="15">
        <f t="shared" si="20"/>
        <v>218</v>
      </c>
      <c r="J397" s="15">
        <v>218</v>
      </c>
      <c r="K397" s="15">
        <v>0</v>
      </c>
      <c r="L397" s="15" t="s">
        <v>86</v>
      </c>
      <c r="M397" s="15" t="s">
        <v>696</v>
      </c>
    </row>
    <row r="398" spans="1:13" ht="31.8" thickBot="1" x14ac:dyDescent="0.35">
      <c r="A398" s="64" t="s">
        <v>133</v>
      </c>
      <c r="B398" s="64">
        <v>108075</v>
      </c>
      <c r="C398" s="35">
        <f t="shared" si="18"/>
        <v>72</v>
      </c>
      <c r="D398" s="35">
        <f t="shared" si="19"/>
        <v>12</v>
      </c>
      <c r="E398" s="15">
        <v>1</v>
      </c>
      <c r="F398" s="65" t="s">
        <v>299</v>
      </c>
      <c r="G398" s="15" t="s">
        <v>300</v>
      </c>
      <c r="H398" s="15">
        <v>72</v>
      </c>
      <c r="I398" s="15">
        <f t="shared" si="20"/>
        <v>12</v>
      </c>
      <c r="J398" s="15">
        <v>12</v>
      </c>
      <c r="K398" s="15">
        <v>0</v>
      </c>
      <c r="L398" s="15" t="s">
        <v>92</v>
      </c>
      <c r="M398" s="15" t="s">
        <v>697</v>
      </c>
    </row>
    <row r="399" spans="1:13" ht="31.8" thickBot="1" x14ac:dyDescent="0.35">
      <c r="A399" s="64" t="s">
        <v>133</v>
      </c>
      <c r="B399" s="64">
        <v>116068</v>
      </c>
      <c r="C399" s="35">
        <f t="shared" si="18"/>
        <v>110</v>
      </c>
      <c r="D399" s="35">
        <f t="shared" si="19"/>
        <v>144</v>
      </c>
      <c r="E399" s="15">
        <v>1</v>
      </c>
      <c r="F399" s="65" t="s">
        <v>299</v>
      </c>
      <c r="G399" s="15" t="s">
        <v>300</v>
      </c>
      <c r="H399" s="15">
        <v>110</v>
      </c>
      <c r="I399" s="15">
        <f t="shared" si="20"/>
        <v>144</v>
      </c>
      <c r="J399" s="15">
        <v>144</v>
      </c>
      <c r="K399" s="15">
        <v>0</v>
      </c>
      <c r="L399" s="15" t="s">
        <v>98</v>
      </c>
      <c r="M399" s="15" t="s">
        <v>698</v>
      </c>
    </row>
    <row r="400" spans="1:13" ht="409.6" thickBot="1" x14ac:dyDescent="0.35">
      <c r="A400" s="64" t="s">
        <v>133</v>
      </c>
      <c r="B400" s="64">
        <v>116011</v>
      </c>
      <c r="C400" s="35">
        <f t="shared" si="18"/>
        <v>3975.25</v>
      </c>
      <c r="D400" s="35">
        <f t="shared" si="19"/>
        <v>5053.208333333333</v>
      </c>
      <c r="E400" s="15">
        <v>24</v>
      </c>
      <c r="F400" s="65" t="s">
        <v>299</v>
      </c>
      <c r="G400" s="15" t="s">
        <v>300</v>
      </c>
      <c r="H400" s="15">
        <v>95406</v>
      </c>
      <c r="I400" s="15">
        <f t="shared" si="20"/>
        <v>121277</v>
      </c>
      <c r="J400" s="15">
        <v>121277</v>
      </c>
      <c r="K400" s="15">
        <v>0</v>
      </c>
      <c r="L400" s="15" t="s">
        <v>98</v>
      </c>
      <c r="M400" s="15" t="s">
        <v>699</v>
      </c>
    </row>
    <row r="401" spans="1:13" ht="16.2" thickBot="1" x14ac:dyDescent="0.35">
      <c r="A401" s="64" t="s">
        <v>133</v>
      </c>
      <c r="B401" s="64">
        <v>107018</v>
      </c>
      <c r="C401" s="35">
        <f t="shared" si="18"/>
        <v>6</v>
      </c>
      <c r="D401" s="35">
        <f t="shared" si="19"/>
        <v>7</v>
      </c>
      <c r="E401" s="15">
        <v>1</v>
      </c>
      <c r="F401" s="65" t="s">
        <v>299</v>
      </c>
      <c r="G401" s="15" t="s">
        <v>300</v>
      </c>
      <c r="H401" s="15">
        <v>6</v>
      </c>
      <c r="I401" s="15">
        <f t="shared" si="20"/>
        <v>7</v>
      </c>
      <c r="J401" s="15">
        <v>7</v>
      </c>
      <c r="K401" s="15">
        <v>0</v>
      </c>
      <c r="L401" s="15" t="s">
        <v>91</v>
      </c>
      <c r="M401" s="15" t="s">
        <v>700</v>
      </c>
    </row>
    <row r="402" spans="1:13" ht="16.2" thickBot="1" x14ac:dyDescent="0.35">
      <c r="A402" s="64" t="s">
        <v>133</v>
      </c>
      <c r="B402" s="64">
        <v>107011</v>
      </c>
      <c r="C402" s="35">
        <f t="shared" si="18"/>
        <v>13</v>
      </c>
      <c r="D402" s="35">
        <f t="shared" si="19"/>
        <v>14</v>
      </c>
      <c r="E402" s="15">
        <v>1</v>
      </c>
      <c r="F402" s="65" t="s">
        <v>299</v>
      </c>
      <c r="G402" s="15" t="s">
        <v>300</v>
      </c>
      <c r="H402" s="15">
        <v>13</v>
      </c>
      <c r="I402" s="15">
        <f t="shared" si="20"/>
        <v>14</v>
      </c>
      <c r="J402" s="15">
        <v>14</v>
      </c>
      <c r="K402" s="15">
        <v>0</v>
      </c>
      <c r="L402" s="15" t="s">
        <v>91</v>
      </c>
      <c r="M402" s="15" t="s">
        <v>700</v>
      </c>
    </row>
    <row r="403" spans="1:13" ht="16.2" thickBot="1" x14ac:dyDescent="0.35">
      <c r="A403" s="64" t="s">
        <v>133</v>
      </c>
      <c r="B403" s="64">
        <v>114022</v>
      </c>
      <c r="C403" s="35">
        <f t="shared" si="18"/>
        <v>1140</v>
      </c>
      <c r="D403" s="35">
        <f t="shared" si="19"/>
        <v>1222</v>
      </c>
      <c r="E403" s="15">
        <v>1</v>
      </c>
      <c r="F403" s="65" t="s">
        <v>299</v>
      </c>
      <c r="G403" s="15" t="s">
        <v>300</v>
      </c>
      <c r="H403" s="15">
        <v>1140</v>
      </c>
      <c r="I403" s="15">
        <f t="shared" si="20"/>
        <v>1222</v>
      </c>
      <c r="J403" s="15">
        <v>1222</v>
      </c>
      <c r="K403" s="15">
        <v>0</v>
      </c>
      <c r="L403" s="15" t="s">
        <v>96</v>
      </c>
      <c r="M403" s="15" t="s">
        <v>701</v>
      </c>
    </row>
    <row r="404" spans="1:13" ht="47.4" thickBot="1" x14ac:dyDescent="0.35">
      <c r="A404" s="64" t="s">
        <v>133</v>
      </c>
      <c r="B404" s="64">
        <v>106007</v>
      </c>
      <c r="C404" s="35">
        <f t="shared" si="18"/>
        <v>851</v>
      </c>
      <c r="D404" s="35">
        <f t="shared" si="19"/>
        <v>932</v>
      </c>
      <c r="E404" s="15">
        <v>1</v>
      </c>
      <c r="F404" s="65" t="s">
        <v>299</v>
      </c>
      <c r="G404" s="15" t="s">
        <v>300</v>
      </c>
      <c r="H404" s="15">
        <v>851</v>
      </c>
      <c r="I404" s="15">
        <f t="shared" si="20"/>
        <v>932</v>
      </c>
      <c r="J404" s="15">
        <v>932</v>
      </c>
      <c r="K404" s="15">
        <v>0</v>
      </c>
      <c r="L404" s="15" t="s">
        <v>90</v>
      </c>
      <c r="M404" s="15" t="s">
        <v>702</v>
      </c>
    </row>
    <row r="405" spans="1:13" ht="63" thickBot="1" x14ac:dyDescent="0.35">
      <c r="A405" s="64" t="s">
        <v>133</v>
      </c>
      <c r="B405" s="64">
        <v>106011</v>
      </c>
      <c r="C405" s="35">
        <f t="shared" si="18"/>
        <v>1060.75</v>
      </c>
      <c r="D405" s="35">
        <f t="shared" si="19"/>
        <v>1176.25</v>
      </c>
      <c r="E405" s="15">
        <v>4</v>
      </c>
      <c r="F405" s="65" t="s">
        <v>299</v>
      </c>
      <c r="G405" s="15" t="s">
        <v>300</v>
      </c>
      <c r="H405" s="15">
        <v>4243</v>
      </c>
      <c r="I405" s="15">
        <f t="shared" si="20"/>
        <v>4705</v>
      </c>
      <c r="J405" s="15">
        <v>4705</v>
      </c>
      <c r="K405" s="15">
        <v>0</v>
      </c>
      <c r="L405" s="15" t="s">
        <v>90</v>
      </c>
      <c r="M405" s="15" t="s">
        <v>703</v>
      </c>
    </row>
    <row r="406" spans="1:13" ht="16.2" thickBot="1" x14ac:dyDescent="0.35">
      <c r="A406" s="64" t="s">
        <v>133</v>
      </c>
      <c r="B406" s="64">
        <v>109020</v>
      </c>
      <c r="C406" s="35">
        <f t="shared" si="18"/>
        <v>808</v>
      </c>
      <c r="D406" s="35">
        <f t="shared" si="19"/>
        <v>748</v>
      </c>
      <c r="E406" s="15">
        <v>1</v>
      </c>
      <c r="F406" s="65" t="s">
        <v>299</v>
      </c>
      <c r="G406" s="15" t="s">
        <v>300</v>
      </c>
      <c r="H406" s="15">
        <v>808</v>
      </c>
      <c r="I406" s="15">
        <f t="shared" si="20"/>
        <v>748</v>
      </c>
      <c r="J406" s="15">
        <v>748</v>
      </c>
      <c r="K406" s="15">
        <v>0</v>
      </c>
      <c r="L406" s="15" t="s">
        <v>97</v>
      </c>
      <c r="M406" s="15" t="s">
        <v>704</v>
      </c>
    </row>
    <row r="407" spans="1:13" ht="78.599999999999994" thickBot="1" x14ac:dyDescent="0.35">
      <c r="A407" s="64" t="s">
        <v>133</v>
      </c>
      <c r="B407" s="64">
        <v>114023</v>
      </c>
      <c r="C407" s="35">
        <f t="shared" si="18"/>
        <v>786.5</v>
      </c>
      <c r="D407" s="35">
        <f t="shared" si="19"/>
        <v>842.25</v>
      </c>
      <c r="E407" s="15">
        <v>4</v>
      </c>
      <c r="F407" s="65" t="s">
        <v>299</v>
      </c>
      <c r="G407" s="15" t="s">
        <v>300</v>
      </c>
      <c r="H407" s="15">
        <v>3146</v>
      </c>
      <c r="I407" s="15">
        <f t="shared" si="20"/>
        <v>3369</v>
      </c>
      <c r="J407" s="15">
        <v>3369</v>
      </c>
      <c r="K407" s="15">
        <v>0</v>
      </c>
      <c r="L407" s="15" t="s">
        <v>96</v>
      </c>
      <c r="M407" s="15" t="s">
        <v>705</v>
      </c>
    </row>
    <row r="408" spans="1:13" ht="16.2" thickBot="1" x14ac:dyDescent="0.35">
      <c r="A408" s="64" t="s">
        <v>133</v>
      </c>
      <c r="B408" s="64">
        <v>118028</v>
      </c>
      <c r="C408" s="35">
        <f t="shared" si="18"/>
        <v>1820</v>
      </c>
      <c r="D408" s="35">
        <f t="shared" si="19"/>
        <v>1949</v>
      </c>
      <c r="E408" s="15">
        <v>1</v>
      </c>
      <c r="F408" s="65" t="s">
        <v>299</v>
      </c>
      <c r="G408" s="15" t="s">
        <v>300</v>
      </c>
      <c r="H408" s="15">
        <v>1820</v>
      </c>
      <c r="I408" s="15">
        <f t="shared" si="20"/>
        <v>1949</v>
      </c>
      <c r="J408" s="15">
        <v>1949</v>
      </c>
      <c r="K408" s="15">
        <v>0</v>
      </c>
      <c r="L408" s="15" t="s">
        <v>85</v>
      </c>
      <c r="M408" s="15" t="s">
        <v>706</v>
      </c>
    </row>
    <row r="409" spans="1:13" ht="16.2" thickBot="1" x14ac:dyDescent="0.35">
      <c r="A409" s="64" t="s">
        <v>133</v>
      </c>
      <c r="B409" s="64">
        <v>112045</v>
      </c>
      <c r="C409" s="35">
        <f t="shared" si="18"/>
        <v>143</v>
      </c>
      <c r="D409" s="35">
        <f t="shared" si="19"/>
        <v>148</v>
      </c>
      <c r="E409" s="15">
        <v>1</v>
      </c>
      <c r="F409" s="65" t="s">
        <v>299</v>
      </c>
      <c r="G409" s="15" t="s">
        <v>300</v>
      </c>
      <c r="H409" s="15">
        <v>143</v>
      </c>
      <c r="I409" s="15">
        <f t="shared" si="20"/>
        <v>148</v>
      </c>
      <c r="J409" s="15">
        <v>148</v>
      </c>
      <c r="K409" s="15">
        <v>0</v>
      </c>
      <c r="L409" s="15" t="s">
        <v>95</v>
      </c>
      <c r="M409" s="15" t="s">
        <v>707</v>
      </c>
    </row>
    <row r="410" spans="1:13" ht="31.8" thickBot="1" x14ac:dyDescent="0.35">
      <c r="A410" s="64" t="s">
        <v>133</v>
      </c>
      <c r="B410" s="64">
        <v>112030</v>
      </c>
      <c r="C410" s="35">
        <f t="shared" si="18"/>
        <v>1507</v>
      </c>
      <c r="D410" s="35">
        <f t="shared" si="19"/>
        <v>1710</v>
      </c>
      <c r="E410" s="15">
        <v>1</v>
      </c>
      <c r="F410" s="65" t="s">
        <v>299</v>
      </c>
      <c r="G410" s="15" t="s">
        <v>300</v>
      </c>
      <c r="H410" s="15">
        <v>1507</v>
      </c>
      <c r="I410" s="15">
        <f t="shared" si="20"/>
        <v>1710</v>
      </c>
      <c r="J410" s="15">
        <v>1710</v>
      </c>
      <c r="K410" s="15">
        <v>0</v>
      </c>
      <c r="L410" s="15" t="s">
        <v>95</v>
      </c>
      <c r="M410" s="15" t="s">
        <v>708</v>
      </c>
    </row>
    <row r="411" spans="1:13" ht="359.4" thickBot="1" x14ac:dyDescent="0.35">
      <c r="A411" s="64" t="s">
        <v>133</v>
      </c>
      <c r="B411" s="64">
        <v>116023</v>
      </c>
      <c r="C411" s="35">
        <f t="shared" si="18"/>
        <v>3171.1428571428573</v>
      </c>
      <c r="D411" s="35">
        <f t="shared" si="19"/>
        <v>3375.8571428571427</v>
      </c>
      <c r="E411" s="15">
        <v>7</v>
      </c>
      <c r="F411" s="65" t="s">
        <v>299</v>
      </c>
      <c r="G411" s="15" t="s">
        <v>300</v>
      </c>
      <c r="H411" s="15">
        <v>22198</v>
      </c>
      <c r="I411" s="15">
        <f t="shared" si="20"/>
        <v>23631</v>
      </c>
      <c r="J411" s="15">
        <v>23631</v>
      </c>
      <c r="K411" s="15">
        <v>0</v>
      </c>
      <c r="L411" s="15" t="s">
        <v>98</v>
      </c>
      <c r="M411" s="15" t="s">
        <v>709</v>
      </c>
    </row>
    <row r="412" spans="1:13" ht="16.2" thickBot="1" x14ac:dyDescent="0.35">
      <c r="A412" s="64" t="s">
        <v>133</v>
      </c>
      <c r="B412" s="64">
        <v>116092</v>
      </c>
      <c r="C412" s="35">
        <f t="shared" si="18"/>
        <v>2571</v>
      </c>
      <c r="D412" s="35">
        <f t="shared" si="19"/>
        <v>1666</v>
      </c>
      <c r="E412" s="15">
        <v>1</v>
      </c>
      <c r="F412" s="65" t="s">
        <v>299</v>
      </c>
      <c r="G412" s="15" t="s">
        <v>300</v>
      </c>
      <c r="H412" s="15">
        <v>2571</v>
      </c>
      <c r="I412" s="15">
        <f t="shared" si="20"/>
        <v>1666</v>
      </c>
      <c r="J412" s="15">
        <v>1666</v>
      </c>
      <c r="K412" s="15">
        <v>0</v>
      </c>
      <c r="L412" s="15" t="s">
        <v>98</v>
      </c>
      <c r="M412" s="15" t="s">
        <v>710</v>
      </c>
    </row>
    <row r="413" spans="1:13" ht="125.4" thickBot="1" x14ac:dyDescent="0.35">
      <c r="A413" s="64" t="s">
        <v>133</v>
      </c>
      <c r="B413" s="64">
        <v>116024</v>
      </c>
      <c r="C413" s="35">
        <f t="shared" si="18"/>
        <v>1493.3333333333333</v>
      </c>
      <c r="D413" s="35">
        <f t="shared" si="19"/>
        <v>2068</v>
      </c>
      <c r="E413" s="15">
        <v>3</v>
      </c>
      <c r="F413" s="65" t="s">
        <v>299</v>
      </c>
      <c r="G413" s="15" t="s">
        <v>300</v>
      </c>
      <c r="H413" s="15">
        <v>4480</v>
      </c>
      <c r="I413" s="15">
        <f t="shared" si="20"/>
        <v>6204</v>
      </c>
      <c r="J413" s="15">
        <v>6204</v>
      </c>
      <c r="K413" s="15">
        <v>0</v>
      </c>
      <c r="L413" s="15" t="s">
        <v>98</v>
      </c>
      <c r="M413" s="15" t="s">
        <v>711</v>
      </c>
    </row>
    <row r="414" spans="1:13" ht="47.4" thickBot="1" x14ac:dyDescent="0.35">
      <c r="A414" s="64" t="s">
        <v>133</v>
      </c>
      <c r="B414" s="64">
        <v>112012</v>
      </c>
      <c r="C414" s="35">
        <f t="shared" si="18"/>
        <v>552</v>
      </c>
      <c r="D414" s="35">
        <f t="shared" si="19"/>
        <v>1016</v>
      </c>
      <c r="E414" s="15">
        <v>1</v>
      </c>
      <c r="F414" s="65">
        <v>1</v>
      </c>
      <c r="G414" s="15" t="s">
        <v>300</v>
      </c>
      <c r="H414" s="15">
        <v>552</v>
      </c>
      <c r="I414" s="15">
        <f t="shared" si="20"/>
        <v>1016</v>
      </c>
      <c r="J414" s="15">
        <v>1016</v>
      </c>
      <c r="K414" s="15">
        <v>0</v>
      </c>
      <c r="L414" s="15" t="s">
        <v>92</v>
      </c>
      <c r="M414" s="15" t="s">
        <v>712</v>
      </c>
    </row>
    <row r="415" spans="1:13" ht="78.599999999999994" thickBot="1" x14ac:dyDescent="0.35">
      <c r="A415" s="64" t="s">
        <v>133</v>
      </c>
      <c r="B415" s="64">
        <v>117034</v>
      </c>
      <c r="C415" s="35">
        <f t="shared" si="18"/>
        <v>139.33333333333334</v>
      </c>
      <c r="D415" s="35">
        <f t="shared" si="19"/>
        <v>186.16666666666666</v>
      </c>
      <c r="E415" s="15">
        <v>6</v>
      </c>
      <c r="F415" s="65" t="s">
        <v>299</v>
      </c>
      <c r="G415" s="15" t="s">
        <v>309</v>
      </c>
      <c r="H415" s="15">
        <v>836</v>
      </c>
      <c r="I415" s="15">
        <f t="shared" si="20"/>
        <v>1117</v>
      </c>
      <c r="J415" s="15">
        <v>1117</v>
      </c>
      <c r="K415" s="15">
        <v>0</v>
      </c>
      <c r="L415" s="15" t="s">
        <v>99</v>
      </c>
      <c r="M415" s="15" t="s">
        <v>713</v>
      </c>
    </row>
    <row r="416" spans="1:13" ht="297" thickBot="1" x14ac:dyDescent="0.35">
      <c r="A416" s="64" t="s">
        <v>133</v>
      </c>
      <c r="B416" s="64">
        <v>117036</v>
      </c>
      <c r="C416" s="35">
        <f t="shared" si="18"/>
        <v>2819</v>
      </c>
      <c r="D416" s="35">
        <f t="shared" si="19"/>
        <v>3588.375</v>
      </c>
      <c r="E416" s="15">
        <v>8</v>
      </c>
      <c r="F416" s="65" t="s">
        <v>299</v>
      </c>
      <c r="G416" s="15" t="s">
        <v>300</v>
      </c>
      <c r="H416" s="15">
        <v>22552</v>
      </c>
      <c r="I416" s="15">
        <f t="shared" si="20"/>
        <v>28707</v>
      </c>
      <c r="J416" s="15">
        <v>28707</v>
      </c>
      <c r="K416" s="15">
        <v>0</v>
      </c>
      <c r="L416" s="15" t="s">
        <v>99</v>
      </c>
      <c r="M416" s="15" t="s">
        <v>714</v>
      </c>
    </row>
    <row r="417" spans="1:13" ht="16.2" thickBot="1" x14ac:dyDescent="0.35">
      <c r="A417" s="64" t="s">
        <v>133</v>
      </c>
      <c r="B417" s="64">
        <v>116061</v>
      </c>
      <c r="C417" s="35">
        <f t="shared" si="18"/>
        <v>3</v>
      </c>
      <c r="D417" s="35">
        <f t="shared" si="19"/>
        <v>4</v>
      </c>
      <c r="E417" s="15">
        <v>1</v>
      </c>
      <c r="F417" s="65" t="s">
        <v>299</v>
      </c>
      <c r="G417" s="15" t="s">
        <v>300</v>
      </c>
      <c r="H417" s="15">
        <v>3</v>
      </c>
      <c r="I417" s="15">
        <f t="shared" si="20"/>
        <v>4</v>
      </c>
      <c r="J417" s="15">
        <v>4</v>
      </c>
      <c r="K417" s="15">
        <v>0</v>
      </c>
      <c r="L417" s="15" t="s">
        <v>98</v>
      </c>
      <c r="M417" s="15" t="s">
        <v>715</v>
      </c>
    </row>
    <row r="418" spans="1:13" ht="16.2" thickBot="1" x14ac:dyDescent="0.35">
      <c r="A418" s="64" t="s">
        <v>133</v>
      </c>
      <c r="B418" s="64">
        <v>109062</v>
      </c>
      <c r="C418" s="35">
        <f t="shared" si="18"/>
        <v>2</v>
      </c>
      <c r="D418" s="35">
        <f t="shared" si="19"/>
        <v>3</v>
      </c>
      <c r="E418" s="15">
        <v>1</v>
      </c>
      <c r="F418" s="65" t="s">
        <v>299</v>
      </c>
      <c r="G418" s="15" t="s">
        <v>300</v>
      </c>
      <c r="H418" s="15">
        <v>2</v>
      </c>
      <c r="I418" s="15">
        <f t="shared" si="20"/>
        <v>3</v>
      </c>
      <c r="J418" s="15">
        <v>3</v>
      </c>
      <c r="K418" s="15">
        <v>0</v>
      </c>
      <c r="L418" s="15" t="s">
        <v>97</v>
      </c>
      <c r="M418" s="15" t="s">
        <v>704</v>
      </c>
    </row>
    <row r="419" spans="1:13" ht="31.8" thickBot="1" x14ac:dyDescent="0.35">
      <c r="A419" s="64" t="s">
        <v>133</v>
      </c>
      <c r="B419" s="64">
        <v>109074</v>
      </c>
      <c r="C419" s="35">
        <f t="shared" si="18"/>
        <v>79</v>
      </c>
      <c r="D419" s="35">
        <f t="shared" si="19"/>
        <v>91</v>
      </c>
      <c r="E419" s="15">
        <v>1</v>
      </c>
      <c r="F419" s="65" t="s">
        <v>299</v>
      </c>
      <c r="G419" s="15" t="s">
        <v>300</v>
      </c>
      <c r="H419" s="15">
        <v>79</v>
      </c>
      <c r="I419" s="15">
        <f t="shared" si="20"/>
        <v>91</v>
      </c>
      <c r="J419" s="15">
        <v>91</v>
      </c>
      <c r="K419" s="15">
        <v>0</v>
      </c>
      <c r="L419" s="15" t="s">
        <v>97</v>
      </c>
      <c r="M419" s="15" t="s">
        <v>716</v>
      </c>
    </row>
    <row r="420" spans="1:13" ht="16.2" thickBot="1" x14ac:dyDescent="0.35">
      <c r="A420" s="64" t="s">
        <v>133</v>
      </c>
      <c r="B420" s="64">
        <v>109077</v>
      </c>
      <c r="C420" s="35">
        <f t="shared" si="18"/>
        <v>155</v>
      </c>
      <c r="D420" s="35">
        <f t="shared" si="19"/>
        <v>161</v>
      </c>
      <c r="E420" s="15">
        <v>1</v>
      </c>
      <c r="F420" s="65" t="s">
        <v>299</v>
      </c>
      <c r="G420" s="15" t="s">
        <v>300</v>
      </c>
      <c r="H420" s="15">
        <v>155</v>
      </c>
      <c r="I420" s="15">
        <f t="shared" si="20"/>
        <v>161</v>
      </c>
      <c r="J420" s="15">
        <v>161</v>
      </c>
      <c r="K420" s="15">
        <v>0</v>
      </c>
      <c r="L420" s="15" t="s">
        <v>97</v>
      </c>
      <c r="M420" s="15" t="s">
        <v>704</v>
      </c>
    </row>
    <row r="421" spans="1:13" ht="31.8" thickBot="1" x14ac:dyDescent="0.35">
      <c r="A421" s="64" t="s">
        <v>133</v>
      </c>
      <c r="B421" s="64">
        <v>109079</v>
      </c>
      <c r="C421" s="35">
        <f t="shared" si="18"/>
        <v>451</v>
      </c>
      <c r="D421" s="35">
        <f t="shared" si="19"/>
        <v>446</v>
      </c>
      <c r="E421" s="15">
        <v>1</v>
      </c>
      <c r="F421" s="65" t="s">
        <v>299</v>
      </c>
      <c r="G421" s="15" t="s">
        <v>300</v>
      </c>
      <c r="H421" s="15">
        <v>451</v>
      </c>
      <c r="I421" s="15">
        <f t="shared" si="20"/>
        <v>446</v>
      </c>
      <c r="J421" s="15">
        <v>446</v>
      </c>
      <c r="K421" s="15">
        <v>0</v>
      </c>
      <c r="L421" s="15" t="s">
        <v>97</v>
      </c>
      <c r="M421" s="15" t="s">
        <v>717</v>
      </c>
    </row>
    <row r="422" spans="1:13" ht="16.2" thickBot="1" x14ac:dyDescent="0.35">
      <c r="A422" s="64" t="s">
        <v>133</v>
      </c>
      <c r="B422" s="64">
        <v>104039</v>
      </c>
      <c r="C422" s="35">
        <f t="shared" si="18"/>
        <v>9</v>
      </c>
      <c r="D422" s="35">
        <f t="shared" si="19"/>
        <v>6</v>
      </c>
      <c r="E422" s="15">
        <v>1</v>
      </c>
      <c r="F422" s="65" t="s">
        <v>299</v>
      </c>
      <c r="G422" s="15" t="s">
        <v>300</v>
      </c>
      <c r="H422" s="15">
        <v>9</v>
      </c>
      <c r="I422" s="15">
        <f t="shared" si="20"/>
        <v>6</v>
      </c>
      <c r="J422" s="15">
        <v>6</v>
      </c>
      <c r="K422" s="15">
        <v>0</v>
      </c>
      <c r="L422" s="15" t="s">
        <v>100</v>
      </c>
      <c r="M422" s="15" t="s">
        <v>718</v>
      </c>
    </row>
    <row r="423" spans="1:13" ht="94.2" thickBot="1" x14ac:dyDescent="0.35">
      <c r="A423" s="64" t="s">
        <v>133</v>
      </c>
      <c r="B423" s="64">
        <v>109014</v>
      </c>
      <c r="C423" s="35">
        <f t="shared" si="18"/>
        <v>2281.3333333333335</v>
      </c>
      <c r="D423" s="35">
        <f t="shared" si="19"/>
        <v>3230.6666666666665</v>
      </c>
      <c r="E423" s="15">
        <v>3</v>
      </c>
      <c r="F423" s="65" t="s">
        <v>299</v>
      </c>
      <c r="G423" s="15" t="s">
        <v>300</v>
      </c>
      <c r="H423" s="15">
        <v>6844</v>
      </c>
      <c r="I423" s="15">
        <f t="shared" si="20"/>
        <v>9692</v>
      </c>
      <c r="J423" s="15">
        <v>9692</v>
      </c>
      <c r="K423" s="15">
        <v>0</v>
      </c>
      <c r="L423" s="15" t="s">
        <v>97</v>
      </c>
      <c r="M423" s="15" t="s">
        <v>719</v>
      </c>
    </row>
    <row r="424" spans="1:13" ht="359.4" thickBot="1" x14ac:dyDescent="0.35">
      <c r="A424" s="64" t="s">
        <v>133</v>
      </c>
      <c r="B424" s="64">
        <v>112016</v>
      </c>
      <c r="C424" s="35">
        <f t="shared" si="18"/>
        <v>4241.8571428571431</v>
      </c>
      <c r="D424" s="35">
        <f t="shared" si="19"/>
        <v>5370.8571428571431</v>
      </c>
      <c r="E424" s="15">
        <v>7</v>
      </c>
      <c r="F424" s="65" t="s">
        <v>299</v>
      </c>
      <c r="G424" s="15" t="s">
        <v>300</v>
      </c>
      <c r="H424" s="15">
        <v>29693</v>
      </c>
      <c r="I424" s="15">
        <f t="shared" si="20"/>
        <v>37596</v>
      </c>
      <c r="J424" s="15">
        <v>37596</v>
      </c>
      <c r="K424" s="15">
        <v>0</v>
      </c>
      <c r="L424" s="15" t="s">
        <v>92</v>
      </c>
      <c r="M424" s="15" t="s">
        <v>720</v>
      </c>
    </row>
    <row r="425" spans="1:13" ht="16.2" thickBot="1" x14ac:dyDescent="0.35">
      <c r="A425" s="64" t="s">
        <v>133</v>
      </c>
      <c r="B425" s="64">
        <v>112020</v>
      </c>
      <c r="C425" s="35">
        <f t="shared" si="18"/>
        <v>603.5</v>
      </c>
      <c r="D425" s="35">
        <f t="shared" si="19"/>
        <v>942</v>
      </c>
      <c r="E425" s="15">
        <v>2</v>
      </c>
      <c r="F425" s="65" t="s">
        <v>299</v>
      </c>
      <c r="G425" s="15" t="s">
        <v>300</v>
      </c>
      <c r="H425" s="15">
        <v>1207</v>
      </c>
      <c r="I425" s="15">
        <f t="shared" si="20"/>
        <v>1884</v>
      </c>
      <c r="J425" s="15">
        <v>1884</v>
      </c>
      <c r="K425" s="15">
        <v>0</v>
      </c>
      <c r="L425" s="15" t="s">
        <v>92</v>
      </c>
      <c r="M425" s="15" t="s">
        <v>313</v>
      </c>
    </row>
    <row r="426" spans="1:13" ht="359.4" thickBot="1" x14ac:dyDescent="0.35">
      <c r="A426" s="64" t="s">
        <v>133</v>
      </c>
      <c r="B426" s="64">
        <v>108019</v>
      </c>
      <c r="C426" s="35">
        <f t="shared" si="18"/>
        <v>2942.5714285714284</v>
      </c>
      <c r="D426" s="35">
        <f t="shared" si="19"/>
        <v>3663.5714285714284</v>
      </c>
      <c r="E426" s="15">
        <v>7</v>
      </c>
      <c r="F426" s="65" t="s">
        <v>299</v>
      </c>
      <c r="G426" s="15" t="s">
        <v>300</v>
      </c>
      <c r="H426" s="15">
        <v>20598</v>
      </c>
      <c r="I426" s="15">
        <f t="shared" si="20"/>
        <v>25645</v>
      </c>
      <c r="J426" s="15">
        <v>25645</v>
      </c>
      <c r="K426" s="15">
        <v>0</v>
      </c>
      <c r="L426" s="15" t="s">
        <v>92</v>
      </c>
      <c r="M426" s="15" t="s">
        <v>721</v>
      </c>
    </row>
    <row r="427" spans="1:13" ht="359.4" thickBot="1" x14ac:dyDescent="0.35">
      <c r="A427" s="64" t="s">
        <v>133</v>
      </c>
      <c r="B427" s="64">
        <v>108020</v>
      </c>
      <c r="C427" s="35">
        <f t="shared" si="18"/>
        <v>2188</v>
      </c>
      <c r="D427" s="35">
        <f t="shared" si="19"/>
        <v>2734.7777777777778</v>
      </c>
      <c r="E427" s="15">
        <v>9</v>
      </c>
      <c r="F427" s="65" t="s">
        <v>299</v>
      </c>
      <c r="G427" s="15" t="s">
        <v>300</v>
      </c>
      <c r="H427" s="15">
        <v>19692</v>
      </c>
      <c r="I427" s="15">
        <f t="shared" si="20"/>
        <v>24613</v>
      </c>
      <c r="J427" s="15">
        <v>24613</v>
      </c>
      <c r="K427" s="15">
        <v>0</v>
      </c>
      <c r="L427" s="15" t="s">
        <v>92</v>
      </c>
      <c r="M427" s="15" t="s">
        <v>722</v>
      </c>
    </row>
    <row r="428" spans="1:13" ht="141" thickBot="1" x14ac:dyDescent="0.35">
      <c r="A428" s="64" t="s">
        <v>133</v>
      </c>
      <c r="B428" s="64">
        <v>118038</v>
      </c>
      <c r="C428" s="35">
        <f t="shared" si="18"/>
        <v>1473.6666666666667</v>
      </c>
      <c r="D428" s="35">
        <f t="shared" si="19"/>
        <v>2047.6666666666667</v>
      </c>
      <c r="E428" s="15">
        <v>3</v>
      </c>
      <c r="F428" s="65" t="s">
        <v>299</v>
      </c>
      <c r="G428" s="15" t="s">
        <v>300</v>
      </c>
      <c r="H428" s="15">
        <v>4421</v>
      </c>
      <c r="I428" s="15">
        <f t="shared" si="20"/>
        <v>6143</v>
      </c>
      <c r="J428" s="15">
        <v>6143</v>
      </c>
      <c r="K428" s="15">
        <v>0</v>
      </c>
      <c r="L428" s="15" t="s">
        <v>85</v>
      </c>
      <c r="M428" s="15" t="s">
        <v>723</v>
      </c>
    </row>
    <row r="429" spans="1:13" ht="357.6" customHeight="1" thickBot="1" x14ac:dyDescent="0.35">
      <c r="A429" s="64" t="s">
        <v>133</v>
      </c>
      <c r="B429" s="64">
        <v>118039</v>
      </c>
      <c r="C429" s="35">
        <f t="shared" si="18"/>
        <v>1588.8333333333333</v>
      </c>
      <c r="D429" s="35">
        <f t="shared" si="19"/>
        <v>2056.3333333333335</v>
      </c>
      <c r="E429" s="15">
        <v>6</v>
      </c>
      <c r="F429" s="65" t="s">
        <v>299</v>
      </c>
      <c r="G429" s="15" t="s">
        <v>300</v>
      </c>
      <c r="H429" s="15">
        <v>9533</v>
      </c>
      <c r="I429" s="15">
        <f t="shared" si="20"/>
        <v>12338</v>
      </c>
      <c r="J429" s="15">
        <v>12338</v>
      </c>
      <c r="K429" s="15">
        <v>0</v>
      </c>
      <c r="L429" s="15" t="s">
        <v>85</v>
      </c>
      <c r="M429" s="15" t="s">
        <v>724</v>
      </c>
    </row>
    <row r="430" spans="1:13" ht="409.6" customHeight="1" thickBot="1" x14ac:dyDescent="0.35">
      <c r="A430" s="64" t="s">
        <v>133</v>
      </c>
      <c r="B430" s="64">
        <v>114021</v>
      </c>
      <c r="C430" s="35">
        <f t="shared" si="18"/>
        <v>7177.3125</v>
      </c>
      <c r="D430" s="35">
        <f t="shared" si="19"/>
        <v>8394.5625</v>
      </c>
      <c r="E430" s="15">
        <v>16</v>
      </c>
      <c r="F430" s="65" t="s">
        <v>299</v>
      </c>
      <c r="G430" s="15" t="s">
        <v>300</v>
      </c>
      <c r="H430" s="15">
        <v>114837</v>
      </c>
      <c r="I430" s="15">
        <f t="shared" si="20"/>
        <v>134313</v>
      </c>
      <c r="J430" s="15">
        <v>134313</v>
      </c>
      <c r="K430" s="15">
        <v>0</v>
      </c>
      <c r="L430" s="15" t="s">
        <v>430</v>
      </c>
      <c r="M430" s="15" t="s">
        <v>725</v>
      </c>
    </row>
    <row r="431" spans="1:13" ht="203.4" thickBot="1" x14ac:dyDescent="0.35">
      <c r="A431" s="64" t="s">
        <v>133</v>
      </c>
      <c r="B431" s="64">
        <v>112025</v>
      </c>
      <c r="C431" s="35">
        <f t="shared" si="18"/>
        <v>2277.4285714285716</v>
      </c>
      <c r="D431" s="35">
        <f t="shared" si="19"/>
        <v>2782.1428571428573</v>
      </c>
      <c r="E431" s="15">
        <v>7</v>
      </c>
      <c r="F431" s="65" t="s">
        <v>299</v>
      </c>
      <c r="G431" s="15" t="s">
        <v>300</v>
      </c>
      <c r="H431" s="15">
        <v>15942</v>
      </c>
      <c r="I431" s="15">
        <f t="shared" si="20"/>
        <v>19475</v>
      </c>
      <c r="J431" s="15">
        <v>19475</v>
      </c>
      <c r="K431" s="15">
        <v>0</v>
      </c>
      <c r="L431" s="15" t="s">
        <v>95</v>
      </c>
      <c r="M431" s="15" t="s">
        <v>726</v>
      </c>
    </row>
    <row r="432" spans="1:13" ht="78.599999999999994" thickBot="1" x14ac:dyDescent="0.35">
      <c r="A432" s="64" t="s">
        <v>133</v>
      </c>
      <c r="B432" s="64">
        <v>110015</v>
      </c>
      <c r="C432" s="35">
        <f t="shared" si="18"/>
        <v>1706.5</v>
      </c>
      <c r="D432" s="35">
        <f t="shared" si="19"/>
        <v>1768</v>
      </c>
      <c r="E432" s="15">
        <v>2</v>
      </c>
      <c r="F432" s="65" t="s">
        <v>299</v>
      </c>
      <c r="G432" s="15" t="s">
        <v>300</v>
      </c>
      <c r="H432" s="15">
        <v>3413</v>
      </c>
      <c r="I432" s="15">
        <f t="shared" si="20"/>
        <v>3536</v>
      </c>
      <c r="J432" s="15">
        <v>3536</v>
      </c>
      <c r="K432" s="15">
        <v>0</v>
      </c>
      <c r="L432" s="15" t="s">
        <v>93</v>
      </c>
      <c r="M432" s="15" t="s">
        <v>727</v>
      </c>
    </row>
    <row r="433" spans="1:13" ht="31.8" thickBot="1" x14ac:dyDescent="0.35">
      <c r="A433" s="64" t="s">
        <v>133</v>
      </c>
      <c r="B433" s="64">
        <v>114024</v>
      </c>
      <c r="C433" s="35">
        <f t="shared" si="18"/>
        <v>1462</v>
      </c>
      <c r="D433" s="35">
        <f t="shared" si="19"/>
        <v>1597</v>
      </c>
      <c r="E433" s="15">
        <v>1</v>
      </c>
      <c r="F433" s="65" t="s">
        <v>299</v>
      </c>
      <c r="G433" s="15" t="s">
        <v>300</v>
      </c>
      <c r="H433" s="15">
        <v>1462</v>
      </c>
      <c r="I433" s="15">
        <f t="shared" si="20"/>
        <v>1597</v>
      </c>
      <c r="J433" s="15">
        <v>1597</v>
      </c>
      <c r="K433" s="15">
        <v>0</v>
      </c>
      <c r="L433" s="15" t="s">
        <v>96</v>
      </c>
      <c r="M433" s="15" t="s">
        <v>728</v>
      </c>
    </row>
    <row r="434" spans="1:13" ht="31.8" thickBot="1" x14ac:dyDescent="0.35">
      <c r="A434" s="64" t="s">
        <v>133</v>
      </c>
      <c r="B434" s="64">
        <v>114027</v>
      </c>
      <c r="C434" s="35">
        <f t="shared" si="18"/>
        <v>665</v>
      </c>
      <c r="D434" s="35">
        <f t="shared" si="19"/>
        <v>812</v>
      </c>
      <c r="E434" s="15">
        <v>1</v>
      </c>
      <c r="F434" s="65" t="s">
        <v>299</v>
      </c>
      <c r="G434" s="15" t="s">
        <v>300</v>
      </c>
      <c r="H434" s="15">
        <v>665</v>
      </c>
      <c r="I434" s="15">
        <f t="shared" si="20"/>
        <v>812</v>
      </c>
      <c r="J434" s="15">
        <v>812</v>
      </c>
      <c r="K434" s="15">
        <v>0</v>
      </c>
      <c r="L434" s="15" t="s">
        <v>96</v>
      </c>
      <c r="M434" s="15" t="s">
        <v>729</v>
      </c>
    </row>
    <row r="435" spans="1:13" ht="31.8" thickBot="1" x14ac:dyDescent="0.35">
      <c r="A435" s="64" t="s">
        <v>133</v>
      </c>
      <c r="B435" s="64">
        <v>109010</v>
      </c>
      <c r="C435" s="35">
        <f t="shared" si="18"/>
        <v>2005</v>
      </c>
      <c r="D435" s="35">
        <f t="shared" si="19"/>
        <v>2654</v>
      </c>
      <c r="E435" s="15">
        <v>1</v>
      </c>
      <c r="F435" s="65" t="s">
        <v>299</v>
      </c>
      <c r="G435" s="15" t="s">
        <v>300</v>
      </c>
      <c r="H435" s="15">
        <v>2005</v>
      </c>
      <c r="I435" s="15">
        <f t="shared" si="20"/>
        <v>2654</v>
      </c>
      <c r="J435" s="15">
        <v>2654</v>
      </c>
      <c r="K435" s="15">
        <v>0</v>
      </c>
      <c r="L435" s="15" t="s">
        <v>97</v>
      </c>
      <c r="M435" s="15" t="s">
        <v>730</v>
      </c>
    </row>
    <row r="436" spans="1:13" ht="47.4" thickBot="1" x14ac:dyDescent="0.35">
      <c r="A436" s="64" t="s">
        <v>133</v>
      </c>
      <c r="B436" s="64">
        <v>110051</v>
      </c>
      <c r="C436" s="35">
        <f t="shared" si="18"/>
        <v>2607</v>
      </c>
      <c r="D436" s="35">
        <f t="shared" si="19"/>
        <v>3401</v>
      </c>
      <c r="E436" s="15">
        <v>1</v>
      </c>
      <c r="F436" s="65" t="s">
        <v>299</v>
      </c>
      <c r="G436" s="15" t="s">
        <v>300</v>
      </c>
      <c r="H436" s="15">
        <v>2607</v>
      </c>
      <c r="I436" s="15">
        <f t="shared" si="20"/>
        <v>3401</v>
      </c>
      <c r="J436" s="15">
        <v>3401</v>
      </c>
      <c r="K436" s="15">
        <v>0</v>
      </c>
      <c r="L436" s="15" t="s">
        <v>93</v>
      </c>
      <c r="M436" s="15" t="s">
        <v>731</v>
      </c>
    </row>
    <row r="437" spans="1:13" ht="87" customHeight="1" thickBot="1" x14ac:dyDescent="0.35">
      <c r="A437" s="64" t="s">
        <v>133</v>
      </c>
      <c r="B437" s="64">
        <v>112039</v>
      </c>
      <c r="C437" s="35">
        <f t="shared" si="18"/>
        <v>2693</v>
      </c>
      <c r="D437" s="35">
        <f t="shared" si="19"/>
        <v>2976</v>
      </c>
      <c r="E437" s="15">
        <v>1</v>
      </c>
      <c r="F437" s="65" t="s">
        <v>299</v>
      </c>
      <c r="G437" s="15" t="s">
        <v>300</v>
      </c>
      <c r="H437" s="15">
        <v>2693</v>
      </c>
      <c r="I437" s="15">
        <f t="shared" si="20"/>
        <v>2976</v>
      </c>
      <c r="J437" s="15">
        <v>2976</v>
      </c>
      <c r="K437" s="15">
        <v>0</v>
      </c>
      <c r="L437" s="15" t="s">
        <v>388</v>
      </c>
      <c r="M437" s="15" t="s">
        <v>732</v>
      </c>
    </row>
    <row r="438" spans="1:13" ht="43.2" customHeight="1" thickBot="1" x14ac:dyDescent="0.35">
      <c r="A438" s="64" t="s">
        <v>133</v>
      </c>
      <c r="B438" s="64">
        <v>103028</v>
      </c>
      <c r="C438" s="35">
        <f t="shared" si="18"/>
        <v>6</v>
      </c>
      <c r="D438" s="35">
        <f t="shared" si="19"/>
        <v>1</v>
      </c>
      <c r="E438" s="15">
        <v>1</v>
      </c>
      <c r="F438" s="65" t="s">
        <v>299</v>
      </c>
      <c r="G438" s="15" t="s">
        <v>300</v>
      </c>
      <c r="H438" s="15">
        <v>6</v>
      </c>
      <c r="I438" s="15">
        <f t="shared" si="20"/>
        <v>1</v>
      </c>
      <c r="J438" s="15">
        <v>1</v>
      </c>
      <c r="K438" s="15">
        <v>0</v>
      </c>
      <c r="L438" s="15" t="s">
        <v>87</v>
      </c>
      <c r="M438" s="15" t="s">
        <v>733</v>
      </c>
    </row>
    <row r="439" spans="1:13" ht="245.7" customHeight="1" thickBot="1" x14ac:dyDescent="0.35">
      <c r="A439" s="64" t="s">
        <v>133</v>
      </c>
      <c r="B439" s="64">
        <v>112019</v>
      </c>
      <c r="C439" s="35">
        <f t="shared" si="18"/>
        <v>3664.4</v>
      </c>
      <c r="D439" s="35">
        <f t="shared" si="19"/>
        <v>4680</v>
      </c>
      <c r="E439" s="15">
        <v>5</v>
      </c>
      <c r="F439" s="65" t="s">
        <v>299</v>
      </c>
      <c r="G439" s="15" t="s">
        <v>300</v>
      </c>
      <c r="H439" s="15">
        <v>18322</v>
      </c>
      <c r="I439" s="15">
        <f t="shared" si="20"/>
        <v>23400</v>
      </c>
      <c r="J439" s="15">
        <v>23400</v>
      </c>
      <c r="K439" s="15">
        <v>0</v>
      </c>
      <c r="L439" s="15" t="s">
        <v>95</v>
      </c>
      <c r="M439" s="15" t="s">
        <v>734</v>
      </c>
    </row>
    <row r="440" spans="1:13" ht="71.7" customHeight="1" thickBot="1" x14ac:dyDescent="0.35">
      <c r="A440" s="64" t="s">
        <v>133</v>
      </c>
      <c r="B440" s="64">
        <v>112032</v>
      </c>
      <c r="C440" s="35">
        <f t="shared" si="18"/>
        <v>105.5</v>
      </c>
      <c r="D440" s="35">
        <f t="shared" si="19"/>
        <v>194.5</v>
      </c>
      <c r="E440" s="15">
        <v>2</v>
      </c>
      <c r="F440" s="65" t="s">
        <v>299</v>
      </c>
      <c r="G440" s="15" t="s">
        <v>309</v>
      </c>
      <c r="H440" s="15">
        <v>211</v>
      </c>
      <c r="I440" s="15">
        <f t="shared" si="20"/>
        <v>389</v>
      </c>
      <c r="J440" s="15">
        <v>389</v>
      </c>
      <c r="K440" s="15">
        <v>0</v>
      </c>
      <c r="L440" s="15" t="s">
        <v>95</v>
      </c>
      <c r="M440" s="15" t="s">
        <v>735</v>
      </c>
    </row>
    <row r="441" spans="1:13" ht="90.6" customHeight="1" thickBot="1" x14ac:dyDescent="0.35">
      <c r="A441" s="64" t="s">
        <v>133</v>
      </c>
      <c r="B441" s="64">
        <v>111015</v>
      </c>
      <c r="C441" s="35">
        <f t="shared" si="18"/>
        <v>1800</v>
      </c>
      <c r="D441" s="35">
        <f t="shared" si="19"/>
        <v>1842</v>
      </c>
      <c r="E441" s="15">
        <v>2</v>
      </c>
      <c r="F441" s="65" t="s">
        <v>299</v>
      </c>
      <c r="G441" s="15" t="s">
        <v>300</v>
      </c>
      <c r="H441" s="15">
        <v>3600</v>
      </c>
      <c r="I441" s="15">
        <f t="shared" si="20"/>
        <v>3684</v>
      </c>
      <c r="J441" s="15">
        <v>3684</v>
      </c>
      <c r="K441" s="15">
        <v>0</v>
      </c>
      <c r="L441" s="15" t="s">
        <v>693</v>
      </c>
      <c r="M441" s="15" t="s">
        <v>736</v>
      </c>
    </row>
    <row r="442" spans="1:13" ht="31.8" thickBot="1" x14ac:dyDescent="0.35">
      <c r="A442" s="64" t="s">
        <v>133</v>
      </c>
      <c r="B442" s="64">
        <v>108017</v>
      </c>
      <c r="C442" s="35">
        <f t="shared" si="18"/>
        <v>375.5</v>
      </c>
      <c r="D442" s="35">
        <f t="shared" si="19"/>
        <v>526</v>
      </c>
      <c r="E442" s="15">
        <v>2</v>
      </c>
      <c r="F442" s="65" t="s">
        <v>299</v>
      </c>
      <c r="G442" s="15" t="s">
        <v>300</v>
      </c>
      <c r="H442" s="15">
        <v>751</v>
      </c>
      <c r="I442" s="15">
        <f t="shared" si="20"/>
        <v>1052</v>
      </c>
      <c r="J442" s="15">
        <v>1052</v>
      </c>
      <c r="K442" s="15">
        <v>0</v>
      </c>
      <c r="L442" s="15" t="s">
        <v>92</v>
      </c>
      <c r="M442" s="15" t="s">
        <v>737</v>
      </c>
    </row>
    <row r="443" spans="1:13" ht="264.60000000000002" customHeight="1" thickBot="1" x14ac:dyDescent="0.35">
      <c r="A443" s="64" t="s">
        <v>133</v>
      </c>
      <c r="B443" s="64">
        <v>114012</v>
      </c>
      <c r="C443" s="35">
        <f t="shared" si="18"/>
        <v>2393.375</v>
      </c>
      <c r="D443" s="35">
        <f t="shared" si="19"/>
        <v>3202.625</v>
      </c>
      <c r="E443" s="15">
        <v>8</v>
      </c>
      <c r="F443" s="65" t="s">
        <v>299</v>
      </c>
      <c r="G443" s="15" t="s">
        <v>300</v>
      </c>
      <c r="H443" s="15">
        <v>19147</v>
      </c>
      <c r="I443" s="15">
        <f t="shared" si="20"/>
        <v>25621</v>
      </c>
      <c r="J443" s="15">
        <v>25621</v>
      </c>
      <c r="K443" s="15">
        <v>0</v>
      </c>
      <c r="L443" s="15" t="s">
        <v>96</v>
      </c>
      <c r="M443" s="15" t="s">
        <v>738</v>
      </c>
    </row>
    <row r="444" spans="1:13" ht="47.4" thickBot="1" x14ac:dyDescent="0.35">
      <c r="A444" s="64" t="s">
        <v>133</v>
      </c>
      <c r="B444" s="64" t="s">
        <v>739</v>
      </c>
      <c r="C444" s="34">
        <f>AVERAGE(C8:C443)</f>
        <v>1578.6291745927531</v>
      </c>
      <c r="D444" s="34">
        <f>AVERAGE(D8:D443)</f>
        <v>1930.689325538855</v>
      </c>
      <c r="E444" s="36">
        <f>AVERAGE(E8:E443)</f>
        <v>3.2866972477064218</v>
      </c>
      <c r="F444" s="34">
        <f>SUM(F8:F443)</f>
        <v>73</v>
      </c>
      <c r="G444" s="7" t="s">
        <v>133</v>
      </c>
      <c r="H444" s="34">
        <f>AVERAGE(H8:H443)</f>
        <v>8371.798165137614</v>
      </c>
      <c r="I444" s="34">
        <f>AVERAGE(I8:I443)</f>
        <v>11017.172018348623</v>
      </c>
      <c r="J444" s="34">
        <f>AVERAGE(J8:J443)</f>
        <v>11017.172018348623</v>
      </c>
      <c r="K444" s="34">
        <f>AVERAGE(K8:K443)</f>
        <v>0</v>
      </c>
      <c r="L444" s="7" t="s">
        <v>133</v>
      </c>
      <c r="M444" s="7" t="s">
        <v>133</v>
      </c>
    </row>
    <row r="445" spans="1:13" ht="63" thickBot="1" x14ac:dyDescent="0.35">
      <c r="A445" s="64" t="s">
        <v>133</v>
      </c>
      <c r="B445" s="64" t="s">
        <v>740</v>
      </c>
      <c r="C445" s="7" t="s">
        <v>741</v>
      </c>
      <c r="D445" s="7" t="s">
        <v>741</v>
      </c>
      <c r="E445" s="7" t="s">
        <v>741</v>
      </c>
      <c r="F445" s="7" t="s">
        <v>742</v>
      </c>
      <c r="G445" s="7" t="s">
        <v>133</v>
      </c>
      <c r="H445" s="7" t="s">
        <v>741</v>
      </c>
      <c r="I445" s="7" t="s">
        <v>741</v>
      </c>
      <c r="J445" s="7" t="s">
        <v>741</v>
      </c>
      <c r="K445" s="7" t="s">
        <v>741</v>
      </c>
      <c r="L445" s="7" t="s">
        <v>133</v>
      </c>
      <c r="M445" s="7" t="s">
        <v>133</v>
      </c>
    </row>
    <row r="446" spans="1:13" s="45" customFormat="1" ht="312.60000000000002" thickBot="1" x14ac:dyDescent="0.35">
      <c r="A446" s="64" t="s">
        <v>133</v>
      </c>
      <c r="B446" s="50" t="s">
        <v>104</v>
      </c>
      <c r="C446" s="50" t="s">
        <v>743</v>
      </c>
      <c r="D446" s="50" t="s">
        <v>744</v>
      </c>
      <c r="E446" s="50" t="s">
        <v>745</v>
      </c>
      <c r="F446" s="50" t="s">
        <v>746</v>
      </c>
      <c r="G446" s="50"/>
      <c r="H446" s="50" t="s">
        <v>747</v>
      </c>
      <c r="I446" s="50" t="s">
        <v>748</v>
      </c>
      <c r="J446" s="50" t="s">
        <v>749</v>
      </c>
      <c r="K446" s="50" t="s">
        <v>750</v>
      </c>
      <c r="L446" s="50" t="s">
        <v>751</v>
      </c>
      <c r="M446" s="50"/>
    </row>
    <row r="447" spans="1:13" x14ac:dyDescent="0.3">
      <c r="A447" s="1"/>
    </row>
    <row r="448" spans="1:13" x14ac:dyDescent="0.3">
      <c r="A448" s="1"/>
    </row>
    <row r="449" spans="1:1" x14ac:dyDescent="0.3">
      <c r="A449" s="1"/>
    </row>
  </sheetData>
  <autoFilter ref="A6:N446" xr:uid="{1C42014E-A3BE-4402-86AB-132725406BEC}"/>
  <pageMargins left="0.25" right="0.25" top="0.75" bottom="0.75" header="0.3" footer="0.3"/>
  <pageSetup paperSize="3" scale="60" fitToHeight="0" orientation="landscape" r:id="rId1"/>
  <headerFooter>
    <oddFooter>Page &amp;P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91B564-A37C-4215-A590-BDC54D984B72}">
  <dimension ref="A1:L23"/>
  <sheetViews>
    <sheetView workbookViewId="0">
      <selection activeCell="A2" sqref="A2"/>
    </sheetView>
  </sheetViews>
  <sheetFormatPr defaultColWidth="8.6640625" defaultRowHeight="15.6" x14ac:dyDescent="0.3"/>
  <cols>
    <col min="1" max="1" width="25.5546875" style="10" customWidth="1"/>
    <col min="2" max="2" width="27.33203125" style="10" customWidth="1"/>
    <col min="3" max="3" width="21.6640625" style="10" customWidth="1"/>
    <col min="4" max="4" width="22.33203125" style="10" customWidth="1"/>
    <col min="5" max="6" width="23" style="10" customWidth="1"/>
    <col min="7" max="7" width="18.109375" style="10" customWidth="1"/>
    <col min="8" max="8" width="18.109375" style="1" customWidth="1"/>
    <col min="9" max="9" width="21.5546875" style="1" customWidth="1"/>
    <col min="10" max="10" width="16.109375" style="1" customWidth="1"/>
    <col min="11" max="11" width="16.33203125" style="1" customWidth="1"/>
    <col min="12" max="12" width="16.109375" style="1" customWidth="1"/>
    <col min="13" max="16384" width="8.6640625" style="1"/>
  </cols>
  <sheetData>
    <row r="1" spans="1:12" x14ac:dyDescent="0.3">
      <c r="A1" s="158" t="s">
        <v>752</v>
      </c>
    </row>
    <row r="2" spans="1:12" ht="16.2" thickBot="1" x14ac:dyDescent="0.35"/>
    <row r="3" spans="1:12" ht="31.8" thickBot="1" x14ac:dyDescent="0.35">
      <c r="A3" s="15" t="s">
        <v>15</v>
      </c>
      <c r="B3" s="16" t="s">
        <v>16</v>
      </c>
      <c r="C3" s="16" t="s">
        <v>17</v>
      </c>
      <c r="D3" s="16" t="s">
        <v>18</v>
      </c>
      <c r="E3" s="16" t="s">
        <v>19</v>
      </c>
      <c r="F3" s="16" t="s">
        <v>20</v>
      </c>
      <c r="G3" s="16" t="s">
        <v>21</v>
      </c>
      <c r="H3" s="16" t="s">
        <v>22</v>
      </c>
      <c r="I3" s="16" t="s">
        <v>23</v>
      </c>
      <c r="J3" s="16" t="s">
        <v>24</v>
      </c>
    </row>
    <row r="4" spans="1:12" ht="31.8" thickBot="1" x14ac:dyDescent="0.35">
      <c r="A4" s="123"/>
      <c r="B4" s="124"/>
      <c r="C4" s="124"/>
      <c r="D4" s="125"/>
      <c r="E4" s="124" t="s">
        <v>27</v>
      </c>
      <c r="F4" s="124"/>
      <c r="G4" s="124"/>
      <c r="H4" s="124"/>
      <c r="I4" s="124" t="s">
        <v>754</v>
      </c>
      <c r="J4" s="124"/>
    </row>
    <row r="5" spans="1:12" ht="16.2" thickBot="1" x14ac:dyDescent="0.35"/>
    <row r="6" spans="1:12" ht="31.8" thickBot="1" x14ac:dyDescent="0.35">
      <c r="A6" s="15" t="s">
        <v>29</v>
      </c>
      <c r="B6" s="126"/>
      <c r="F6" s="15" t="s">
        <v>30</v>
      </c>
      <c r="G6" s="124"/>
      <c r="I6" s="15" t="s">
        <v>31</v>
      </c>
      <c r="J6" s="16">
        <v>2027</v>
      </c>
    </row>
    <row r="7" spans="1:12" ht="31.8" thickBot="1" x14ac:dyDescent="0.35">
      <c r="A7" s="15" t="s">
        <v>32</v>
      </c>
      <c r="B7" s="138" t="e">
        <f>I17</f>
        <v>#VALUE!</v>
      </c>
      <c r="F7" s="15" t="s">
        <v>33</v>
      </c>
      <c r="G7" s="114" t="e">
        <f>ROUND(IF($I$4="SoCalGas",IF($B$4="Distribution regulator station(s) only", INDEX('SoCalGas Costs Data'!F15:AZ15,MATCH('SoCalGas Calculations'!$D$4,'SoCalGas Costs Data'!F$5:AZ$5, 0)), INDEX('SoCalGas Costs Data'!F14:AZ14,MATCH('SoCalGas Calculations'!$D$4,'SoCalGas Costs Data'!F$5:AZ$5, 0))), "")/365,0)</f>
        <v>#N/A</v>
      </c>
      <c r="I7" s="20" t="s">
        <v>34</v>
      </c>
      <c r="J7" s="16">
        <v>7.2499999999999995E-2</v>
      </c>
    </row>
    <row r="8" spans="1:12" ht="63" thickBot="1" x14ac:dyDescent="0.35">
      <c r="A8" s="15" t="s">
        <v>35</v>
      </c>
      <c r="B8" s="139" t="str">
        <f>IFERROR(B7/B6,"")</f>
        <v/>
      </c>
      <c r="F8" s="15" t="s">
        <v>36</v>
      </c>
      <c r="G8" s="124"/>
      <c r="I8" s="20" t="s">
        <v>37</v>
      </c>
      <c r="J8" s="16">
        <f>J7</f>
        <v>7.2499999999999995E-2</v>
      </c>
    </row>
    <row r="9" spans="1:12" ht="47.4" thickBot="1" x14ac:dyDescent="0.35">
      <c r="E9" s="1"/>
      <c r="F9" s="20" t="s">
        <v>38</v>
      </c>
      <c r="G9" s="124"/>
      <c r="I9" s="51" t="s">
        <v>39</v>
      </c>
      <c r="J9" s="16">
        <v>0.04</v>
      </c>
    </row>
    <row r="10" spans="1:12" ht="16.2" thickBot="1" x14ac:dyDescent="0.35">
      <c r="E10" s="1"/>
      <c r="J10" s="137"/>
      <c r="K10" s="137"/>
    </row>
    <row r="11" spans="1:12" ht="33" customHeight="1" thickBot="1" x14ac:dyDescent="0.35">
      <c r="A11" s="10" t="s">
        <v>4</v>
      </c>
      <c r="J11" s="277" t="s">
        <v>40</v>
      </c>
      <c r="K11" s="278"/>
    </row>
    <row r="12" spans="1:12" ht="78.599999999999994" thickBot="1" x14ac:dyDescent="0.35">
      <c r="A12" s="2" t="s">
        <v>41</v>
      </c>
      <c r="B12" s="3" t="s">
        <v>42</v>
      </c>
      <c r="C12" s="3" t="s">
        <v>43</v>
      </c>
      <c r="D12" s="3" t="s">
        <v>44</v>
      </c>
      <c r="E12" s="3" t="s">
        <v>45</v>
      </c>
      <c r="F12" s="3" t="s">
        <v>46</v>
      </c>
      <c r="G12" s="3" t="s">
        <v>47</v>
      </c>
      <c r="H12" s="3" t="s">
        <v>48</v>
      </c>
      <c r="I12" s="3" t="s">
        <v>49</v>
      </c>
      <c r="J12" s="3" t="s">
        <v>50</v>
      </c>
      <c r="K12" s="3" t="s">
        <v>51</v>
      </c>
      <c r="L12" s="3" t="s">
        <v>52</v>
      </c>
    </row>
    <row r="13" spans="1:12" ht="16.2" thickBot="1" x14ac:dyDescent="0.35">
      <c r="A13" s="120" t="s">
        <v>54</v>
      </c>
      <c r="B13" s="5" t="s">
        <v>55</v>
      </c>
      <c r="C13" s="125" t="s">
        <v>1478</v>
      </c>
      <c r="D13" s="140" t="e">
        <f>IF($I$4="SoCalGas",IF($B$4="Distribution services only", INDEX('SoCalGas Costs Data'!$F9:$AZ9,MATCH('SoCalGas Calculations'!$D$4,'SoCalGas Costs Data'!$F$5:$AZ$5,0)), IF(OR($D$4="Downey",$D$4="Templeton"), 0, INDEX('SoCalGas Costs Data'!$F9:$AZ9,MATCH('SoCalGas Calculations'!$D$4,'SoCalGas Costs Data'!$F$5:$AZ$5,0)))), "")</f>
        <v>#N/A</v>
      </c>
      <c r="E13" s="140" t="e">
        <f>C13*D13*(1+'SoCalGas Calculations'!$J$9)^('SoCalGas Calculations'!$G$6-2022)</f>
        <v>#VALUE!</v>
      </c>
      <c r="F13" s="140">
        <f>'SoCalGas NPV Calc Details'!$E$3</f>
        <v>0</v>
      </c>
      <c r="G13" s="141"/>
      <c r="H13" s="141"/>
      <c r="I13" s="56">
        <f>F13</f>
        <v>0</v>
      </c>
      <c r="J13" s="142"/>
      <c r="K13" s="142"/>
      <c r="L13" s="56">
        <f>SUM(I13:K13)</f>
        <v>0</v>
      </c>
    </row>
    <row r="14" spans="1:12" ht="16.2" thickBot="1" x14ac:dyDescent="0.35">
      <c r="A14" s="120" t="s">
        <v>56</v>
      </c>
      <c r="B14" s="5" t="s">
        <v>57</v>
      </c>
      <c r="C14" s="125" t="s">
        <v>1479</v>
      </c>
      <c r="D14" s="140" t="e">
        <f>IF($I$4="SoCalGas",IF($B$4="Distribution services only", 0, IF(OR(D4="Downey", D4="Templeton"),  INDEX('SoCalGas Costs Data'!F11:AZ11,MATCH('SoCalGas Calculations'!$D$4,'SoCalGas Costs Data'!F$5:AZ$5, 0)), INDEX('SoCalGas Costs Data'!F10:AZ10,MATCH('SoCalGas Calculations'!$D$4,'SoCalGas Costs Data'!F$5:AZ$5, 0)))), "")</f>
        <v>#N/A</v>
      </c>
      <c r="E14" s="140" t="e">
        <f>C14*D14*(1+'SoCalGas Calculations'!$J$9)^('SoCalGas Calculations'!$G$6-2022)</f>
        <v>#VALUE!</v>
      </c>
      <c r="F14" s="140" t="e">
        <f>'SoCalGas NPV Calc Details'!$J$3</f>
        <v>#VALUE!</v>
      </c>
      <c r="G14" s="141"/>
      <c r="H14" s="141"/>
      <c r="I14" s="56" t="e">
        <f>F14</f>
        <v>#VALUE!</v>
      </c>
      <c r="J14" s="142"/>
      <c r="K14" s="142"/>
      <c r="L14" s="56" t="e">
        <f t="shared" ref="L14:L16" si="0">SUM(I14:K14)</f>
        <v>#VALUE!</v>
      </c>
    </row>
    <row r="15" spans="1:12" ht="31.8" thickBot="1" x14ac:dyDescent="0.35">
      <c r="A15" s="120" t="s">
        <v>58</v>
      </c>
      <c r="B15" s="5" t="s">
        <v>59</v>
      </c>
      <c r="C15" s="125" t="s">
        <v>1480</v>
      </c>
      <c r="D15" s="140" t="e">
        <f>IF($I$4="SoCalGas",IF(OR($B$4="Distribution mains and services", $B$4="Distribution mains only", $B$4="Distribution services only"), 0, INDEX('SoCalGas Costs Data'!F12:AZ12,MATCH('SoCalGas Calculations'!$D$4,'SoCalGas Costs Data'!F$5:AZ$5, 0))), "")</f>
        <v>#N/A</v>
      </c>
      <c r="E15" s="56" t="str">
        <f>IFERROR(C15*D15*(1+'SoCalGas Calculations'!$J$9)^('SoCalGas Calculations'!$G$6-2022), "")</f>
        <v/>
      </c>
      <c r="F15" s="140" t="e">
        <f>'SoCalGas NPV Calc Details'!$N$3</f>
        <v>#VALUE!</v>
      </c>
      <c r="G15" s="141"/>
      <c r="H15" s="141"/>
      <c r="I15" s="56" t="e">
        <f>F15</f>
        <v>#VALUE!</v>
      </c>
      <c r="J15" s="142"/>
      <c r="K15" s="142"/>
      <c r="L15" s="56" t="e">
        <f t="shared" si="0"/>
        <v>#VALUE!</v>
      </c>
    </row>
    <row r="16" spans="1:12" ht="31.8" thickBot="1" x14ac:dyDescent="0.35">
      <c r="A16" s="120" t="s">
        <v>60</v>
      </c>
      <c r="B16" s="5" t="s">
        <v>61</v>
      </c>
      <c r="C16" s="11"/>
      <c r="D16" s="141"/>
      <c r="E16" s="143"/>
      <c r="F16" s="141"/>
      <c r="G16" s="140">
        <f>$B$6 * IF($I$4="SoCalGas",'SoCalGas Costs Data'!$BA$13*$B$6, "")</f>
        <v>0</v>
      </c>
      <c r="H16" s="140">
        <f>'SoCalGas NPV Calc Details'!$Q$3</f>
        <v>0</v>
      </c>
      <c r="I16" s="56">
        <f>H16</f>
        <v>0</v>
      </c>
      <c r="J16" s="142"/>
      <c r="K16" s="142"/>
      <c r="L16" s="56">
        <f t="shared" si="0"/>
        <v>0</v>
      </c>
    </row>
    <row r="17" spans="1:12" ht="16.2" thickBot="1" x14ac:dyDescent="0.35">
      <c r="A17" s="120" t="s">
        <v>62</v>
      </c>
      <c r="B17" s="5" t="s">
        <v>63</v>
      </c>
      <c r="C17" s="135"/>
      <c r="D17" s="135"/>
      <c r="E17" s="144" t="e">
        <f>SUM(E13:E16)</f>
        <v>#VALUE!</v>
      </c>
      <c r="F17" s="144" t="e">
        <f t="shared" ref="F17:L17" si="1">SUM(F13:F16)</f>
        <v>#VALUE!</v>
      </c>
      <c r="G17" s="144">
        <f t="shared" si="1"/>
        <v>0</v>
      </c>
      <c r="H17" s="144">
        <f t="shared" si="1"/>
        <v>0</v>
      </c>
      <c r="I17" s="145" t="e">
        <f t="shared" si="1"/>
        <v>#VALUE!</v>
      </c>
      <c r="J17" s="85">
        <f t="shared" si="1"/>
        <v>0</v>
      </c>
      <c r="K17" s="85">
        <f t="shared" si="1"/>
        <v>0</v>
      </c>
      <c r="L17" s="85" t="e">
        <f t="shared" si="1"/>
        <v>#VALUE!</v>
      </c>
    </row>
    <row r="18" spans="1:12" x14ac:dyDescent="0.3">
      <c r="A18" s="8"/>
      <c r="B18" s="8"/>
      <c r="C18" s="8"/>
      <c r="D18" s="8"/>
      <c r="E18" s="8"/>
      <c r="F18" s="8"/>
      <c r="G18" s="8"/>
    </row>
    <row r="19" spans="1:12" x14ac:dyDescent="0.3">
      <c r="A19" s="8"/>
      <c r="B19" s="8"/>
      <c r="C19" s="8"/>
      <c r="D19" s="8"/>
      <c r="E19" s="8"/>
      <c r="F19" s="8"/>
      <c r="G19" s="8"/>
    </row>
    <row r="20" spans="1:12" x14ac:dyDescent="0.3">
      <c r="A20" s="9"/>
      <c r="B20" s="8"/>
      <c r="C20" s="8"/>
      <c r="D20" s="8"/>
      <c r="E20" s="8"/>
      <c r="F20" s="8"/>
      <c r="G20" s="8"/>
    </row>
    <row r="21" spans="1:12" x14ac:dyDescent="0.3">
      <c r="A21" s="1"/>
    </row>
    <row r="23" spans="1:12" x14ac:dyDescent="0.3">
      <c r="A23" s="1"/>
    </row>
  </sheetData>
  <mergeCells count="1">
    <mergeCell ref="J11:K11"/>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xr:uid="{C2714C05-AC37-4B55-807E-973404E761DE}">
          <x14:formula1>
            <xm:f>'Drop-Down Menus'!$B$3:$B$9</xm:f>
          </x14:formula1>
          <xm:sqref>B4</xm:sqref>
        </x14:dataValidation>
        <x14:dataValidation type="list" allowBlank="1" showInputMessage="1" showErrorMessage="1" xr:uid="{679F5956-681C-433E-A328-82E016EB3C84}">
          <x14:formula1>
            <xm:f>'Drop-Down Menus'!$C$3:$C$79</xm:f>
          </x14:formula1>
          <xm:sqref>D4</xm:sqref>
        </x14:dataValidation>
        <x14:dataValidation type="list" allowBlank="1" showInputMessage="1" showErrorMessage="1" xr:uid="{DE0A1DD3-FC32-46D4-8740-13FF76C50C2F}">
          <x14:formula1>
            <xm:f>'Drop-Down Menus'!$A$3:$A$6</xm:f>
          </x14:formula1>
          <xm:sqref>I4</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1CA2CB-CC78-4D97-A64D-654BD28F3814}">
  <dimension ref="A1:Q103"/>
  <sheetViews>
    <sheetView workbookViewId="0"/>
  </sheetViews>
  <sheetFormatPr defaultRowHeight="14.4" x14ac:dyDescent="0.3"/>
  <cols>
    <col min="1" max="1" width="9.5546875" customWidth="1"/>
    <col min="2" max="2" width="10.44140625" bestFit="1" customWidth="1"/>
    <col min="3" max="16" width="17.44140625" customWidth="1"/>
    <col min="17" max="17" width="21.44140625" customWidth="1"/>
  </cols>
  <sheetData>
    <row r="1" spans="1:17" ht="16.2" thickBot="1" x14ac:dyDescent="0.35">
      <c r="A1" s="64"/>
      <c r="B1" s="64"/>
      <c r="C1" s="279" t="s">
        <v>64</v>
      </c>
      <c r="D1" s="279"/>
      <c r="E1" s="279"/>
      <c r="F1" s="279"/>
      <c r="G1" s="279" t="s">
        <v>65</v>
      </c>
      <c r="H1" s="279"/>
      <c r="I1" s="279"/>
      <c r="J1" s="279"/>
      <c r="K1" s="279" t="s">
        <v>66</v>
      </c>
      <c r="L1" s="279"/>
      <c r="M1" s="279"/>
      <c r="N1" s="279"/>
      <c r="O1" s="279" t="s">
        <v>67</v>
      </c>
      <c r="P1" s="279"/>
      <c r="Q1" s="279"/>
    </row>
    <row r="2" spans="1:17" ht="63" thickBot="1" x14ac:dyDescent="0.35">
      <c r="A2" s="15" t="s">
        <v>68</v>
      </c>
      <c r="B2" s="15" t="s">
        <v>69</v>
      </c>
      <c r="C2" s="15" t="s">
        <v>70</v>
      </c>
      <c r="D2" s="15" t="s">
        <v>71</v>
      </c>
      <c r="E2" s="15" t="s">
        <v>72</v>
      </c>
      <c r="F2" s="15" t="s">
        <v>73</v>
      </c>
      <c r="G2" s="15" t="s">
        <v>70</v>
      </c>
      <c r="H2" s="15" t="s">
        <v>71</v>
      </c>
      <c r="I2" s="15" t="s">
        <v>73</v>
      </c>
      <c r="J2" s="15" t="s">
        <v>73</v>
      </c>
      <c r="K2" s="15" t="s">
        <v>70</v>
      </c>
      <c r="L2" s="15" t="s">
        <v>71</v>
      </c>
      <c r="M2" s="15" t="s">
        <v>73</v>
      </c>
      <c r="N2" s="15" t="s">
        <v>73</v>
      </c>
      <c r="O2" s="15" t="s">
        <v>74</v>
      </c>
      <c r="P2" s="15" t="s">
        <v>71</v>
      </c>
      <c r="Q2" s="15" t="s">
        <v>75</v>
      </c>
    </row>
    <row r="3" spans="1:17" ht="16.2" thickBot="1" x14ac:dyDescent="0.35">
      <c r="A3" s="154" t="s">
        <v>63</v>
      </c>
      <c r="B3" s="3"/>
      <c r="C3" s="155" t="e">
        <f>SUM(C4:C103)</f>
        <v>#N/A</v>
      </c>
      <c r="D3" s="156" t="e">
        <f t="shared" ref="D3" si="0">SUM(D4:D103)</f>
        <v>#VALUE!</v>
      </c>
      <c r="E3" s="156">
        <f>_xlfn.AGGREGATE(9,6,E4:E103)</f>
        <v>0</v>
      </c>
      <c r="F3" s="157" t="e">
        <f>('SoCalGas Calculations'!$E$13)*(1/((1+'SoCalGas Calculations'!$J$7)^('SoCalGas Calculations'!$G$6-'SoCalGas Calculations'!$J$6-1)))</f>
        <v>#VALUE!</v>
      </c>
      <c r="G3" s="155" t="e">
        <f>SUM(G4:G103)</f>
        <v>#N/A</v>
      </c>
      <c r="H3" s="156" t="e">
        <f t="shared" ref="H3" si="1">SUM(H4:H103)</f>
        <v>#VALUE!</v>
      </c>
      <c r="I3" s="156">
        <f>_xlfn.AGGREGATE(9,6,I4:I103)</f>
        <v>0</v>
      </c>
      <c r="J3" s="157" t="e">
        <f>('SoCalGas Calculations'!$E$14)*(1/((1+'SoCalGas Calculations'!$J$7)^('SoCalGas Calculations'!$G$6-'SoCalGas Calculations'!$J$6-1)))</f>
        <v>#VALUE!</v>
      </c>
      <c r="K3" s="155" t="e">
        <f>SUM(K4:K103)</f>
        <v>#N/A</v>
      </c>
      <c r="L3" s="156" t="e">
        <f t="shared" ref="L3" si="2">SUM(L4:L103)</f>
        <v>#VALUE!</v>
      </c>
      <c r="M3" s="156">
        <f>_xlfn.AGGREGATE(9,6,M4:M103)</f>
        <v>0</v>
      </c>
      <c r="N3" s="157" t="e">
        <f>('SoCalGas Calculations'!$E$15)*(1/((1+'SoCalGas Calculations'!$J$7)^('SoCalGas Calculations'!$G$6-'SoCalGas Calculations'!$J$6-1)))</f>
        <v>#VALUE!</v>
      </c>
      <c r="O3" s="155" t="e">
        <f>SUM(O4:O103)</f>
        <v>#N/A</v>
      </c>
      <c r="P3" s="156" t="e">
        <f t="shared" ref="P3" si="3">SUM(P4:P103)</f>
        <v>#N/A</v>
      </c>
      <c r="Q3" s="157">
        <f>_xlfn.AGGREGATE(9,6,Q4:Q103)</f>
        <v>0</v>
      </c>
    </row>
    <row r="4" spans="1:17" ht="15.6" x14ac:dyDescent="0.3">
      <c r="A4" s="148">
        <v>1</v>
      </c>
      <c r="B4" s="63" t="e">
        <f t="array" ref="B4:B47">_xlfn.SEQUENCE('SoCalGas Calculations'!$G$8+'SoCalGas Calculations'!$G$7, 1, 'SoCalGas Calculations'!$G$6-'SoCalGas Calculations'!$J$6)</f>
        <v>#N/A</v>
      </c>
      <c r="C4" s="149" t="e" cm="1">
        <f t="array" ref="C4">_xlfn.SEQUENCE('SoCalGas Calculations'!$G$8+'SoCalGas Calculations'!$G$7, 1, 'SoCalGas Calculations'!$E$13/('SoCalGas Calculations'!$G$8+'SoCalGas Calculations'!$G$7),0)</f>
        <v>#N/A</v>
      </c>
      <c r="D4" s="136" t="e" cm="1">
        <f t="array" ref="D4">'SoCalGas Calculations'!$J$7*_xlfn.LAMBDA(_xlpm.i,'SoCalGas Calculations'!$E$13-($C$4)*(_xlpm.i-1))(_xlfn.SEQUENCE('SoCalGas Calculations'!$G$8+'SoCalGas Calculations'!$G$7))</f>
        <v>#VALUE!</v>
      </c>
      <c r="E4" s="136" t="e">
        <f>(C4+D4)*(1/((1+'SoCalGas Calculations'!$J$8)^$B4))</f>
        <v>#N/A</v>
      </c>
      <c r="F4" s="150"/>
      <c r="G4" s="149" t="e" cm="1">
        <f t="array" ref="G4">_xlfn.SEQUENCE('SoCalGas Calculations'!$G$8+'SoCalGas Calculations'!$G$7, 1, 'SoCalGas Calculations'!$E$14/('SoCalGas Calculations'!$G$8+'SoCalGas Calculations'!$G$7),0)</f>
        <v>#N/A</v>
      </c>
      <c r="H4" s="136" t="e" cm="1">
        <f t="array" ref="H4">'SoCalGas Calculations'!$J$7*_xlfn.LAMBDA(_xlpm.i,'SoCalGas Calculations'!$E$14-($G$4)*(_xlpm.i-1))(_xlfn.SEQUENCE('SoCalGas Calculations'!$G$8+'SoCalGas Calculations'!$G$7))</f>
        <v>#VALUE!</v>
      </c>
      <c r="I4" s="136" t="e">
        <f>(G4+H4)*(1/((1+'SoCalGas Calculations'!$J$8)^$B4))</f>
        <v>#N/A</v>
      </c>
      <c r="J4" s="150"/>
      <c r="K4" s="149" t="e" cm="1">
        <f t="array" ref="K4">_xlfn.SEQUENCE('SoCalGas Calculations'!$G$8+'SoCalGas Calculations'!$G$7, 1, 'SoCalGas Calculations'!$E$15/('SoCalGas Calculations'!$G$8+'SoCalGas Calculations'!$G$7),0)</f>
        <v>#N/A</v>
      </c>
      <c r="L4" s="136" t="e" cm="1">
        <f t="array" ref="L4">'SoCalGas Calculations'!$J$7*_xlfn.LAMBDA(_xlpm.i,'SoCalGas Calculations'!$E$15-($K$4)*(_xlpm.i-1))(_xlfn.SEQUENCE('SoCalGas Calculations'!$G$8+'SoCalGas Calculations'!$G$7))</f>
        <v>#VALUE!</v>
      </c>
      <c r="M4" s="136" t="e">
        <f>(K4+L4)*(1/((1+'SoCalGas Calculations'!$J$8)^$B4))</f>
        <v>#N/A</v>
      </c>
      <c r="N4" s="150"/>
      <c r="O4" s="149" t="e" cm="1">
        <f t="array" ref="O4">_xlfn.SEQUENCE('SoCalGas Calculations'!$G$8+'SoCalGas Calculations'!$G$7, 1, 'SoCalGas Calculations'!$G$16,0)</f>
        <v>#N/A</v>
      </c>
      <c r="P4" s="136" t="e" cm="1">
        <f t="array" ref="P4">_xlfn.SEQUENCE('SoCalGas Calculations'!$G$8+'SoCalGas Calculations'!$G$7, 1, O4*'SoCalGas Calculations'!$J$7,0)</f>
        <v>#N/A</v>
      </c>
      <c r="Q4" s="150" t="e">
        <f>(O4+P4)*(1/((1+'SoCalGas Calculations'!$J$8)^$B4))</f>
        <v>#N/A</v>
      </c>
    </row>
    <row r="5" spans="1:17" ht="15.6" x14ac:dyDescent="0.3">
      <c r="A5" s="148">
        <v>2</v>
      </c>
      <c r="B5" s="63" t="e">
        <v>#N/A</v>
      </c>
      <c r="C5" s="149"/>
      <c r="D5" s="136"/>
      <c r="E5" s="136" t="e">
        <f>(C5+D5)*(1/((1+'SoCalGas Calculations'!$J$8)^$B5))</f>
        <v>#N/A</v>
      </c>
      <c r="F5" s="150"/>
      <c r="G5" s="149"/>
      <c r="H5" s="136"/>
      <c r="I5" s="136" t="e">
        <f>(G5+H5)*(1/((1+'SoCalGas Calculations'!$J$8)^$B5))</f>
        <v>#N/A</v>
      </c>
      <c r="J5" s="150"/>
      <c r="K5" s="149"/>
      <c r="L5" s="136"/>
      <c r="M5" s="136" t="e">
        <f>(K5+L5)*(1/((1+'SoCalGas Calculations'!$J$8)^$B5))</f>
        <v>#N/A</v>
      </c>
      <c r="N5" s="150"/>
      <c r="O5" s="149"/>
      <c r="P5" s="136"/>
      <c r="Q5" s="150" t="e">
        <f>(O5+P5)*(1/((1+'SoCalGas Calculations'!$J$8)^$B5))</f>
        <v>#N/A</v>
      </c>
    </row>
    <row r="6" spans="1:17" ht="15.6" x14ac:dyDescent="0.3">
      <c r="A6" s="148">
        <v>3</v>
      </c>
      <c r="B6" s="63" t="e">
        <v>#N/A</v>
      </c>
      <c r="C6" s="149"/>
      <c r="D6" s="136"/>
      <c r="E6" s="136" t="e">
        <f>(C6+D6)*(1/((1+'SoCalGas Calculations'!$J$8)^$B6))</f>
        <v>#N/A</v>
      </c>
      <c r="F6" s="150"/>
      <c r="G6" s="149"/>
      <c r="H6" s="136"/>
      <c r="I6" s="136" t="e">
        <f>(G6+H6)*(1/((1+'SoCalGas Calculations'!$J$8)^$B6))</f>
        <v>#N/A</v>
      </c>
      <c r="J6" s="150"/>
      <c r="K6" s="149"/>
      <c r="L6" s="136"/>
      <c r="M6" s="136" t="e">
        <f>(K6+L6)*(1/((1+'SoCalGas Calculations'!$J$8)^$B6))</f>
        <v>#N/A</v>
      </c>
      <c r="N6" s="150"/>
      <c r="O6" s="149"/>
      <c r="P6" s="136"/>
      <c r="Q6" s="150" t="e">
        <f>(O6+P6)*(1/((1+'SoCalGas Calculations'!$J$8)^$B6))</f>
        <v>#N/A</v>
      </c>
    </row>
    <row r="7" spans="1:17" ht="15.6" x14ac:dyDescent="0.3">
      <c r="A7" s="148">
        <v>4</v>
      </c>
      <c r="B7" s="63" t="e">
        <v>#N/A</v>
      </c>
      <c r="C7" s="149"/>
      <c r="D7" s="136"/>
      <c r="E7" s="136" t="e">
        <f>(C7+D7)*(1/((1+'SoCalGas Calculations'!$J$8)^$B7))</f>
        <v>#N/A</v>
      </c>
      <c r="F7" s="150"/>
      <c r="G7" s="149"/>
      <c r="H7" s="136"/>
      <c r="I7" s="136" t="e">
        <f>(G7+H7)*(1/((1+'SoCalGas Calculations'!$J$8)^$B7))</f>
        <v>#N/A</v>
      </c>
      <c r="J7" s="150"/>
      <c r="K7" s="149"/>
      <c r="L7" s="136"/>
      <c r="M7" s="136" t="e">
        <f>(K7+L7)*(1/((1+'SoCalGas Calculations'!$J$8)^$B7))</f>
        <v>#N/A</v>
      </c>
      <c r="N7" s="150"/>
      <c r="O7" s="149"/>
      <c r="P7" s="136"/>
      <c r="Q7" s="150" t="e">
        <f>(O7+P7)*(1/((1+'SoCalGas Calculations'!$J$8)^$B7))</f>
        <v>#N/A</v>
      </c>
    </row>
    <row r="8" spans="1:17" ht="15.6" x14ac:dyDescent="0.3">
      <c r="A8" s="148">
        <v>5</v>
      </c>
      <c r="B8" s="63" t="e">
        <v>#N/A</v>
      </c>
      <c r="C8" s="149"/>
      <c r="D8" s="136"/>
      <c r="E8" s="136" t="e">
        <f>(C8+D8)*(1/((1+'SoCalGas Calculations'!$J$8)^$B8))</f>
        <v>#N/A</v>
      </c>
      <c r="F8" s="150"/>
      <c r="G8" s="149"/>
      <c r="H8" s="136"/>
      <c r="I8" s="136" t="e">
        <f>(G8+H8)*(1/((1+'SoCalGas Calculations'!$J$8)^$B8))</f>
        <v>#N/A</v>
      </c>
      <c r="J8" s="150"/>
      <c r="K8" s="149"/>
      <c r="L8" s="136"/>
      <c r="M8" s="136" t="e">
        <f>(K8+L8)*(1/((1+'SoCalGas Calculations'!$J$8)^$B8))</f>
        <v>#N/A</v>
      </c>
      <c r="N8" s="150"/>
      <c r="O8" s="149"/>
      <c r="P8" s="136"/>
      <c r="Q8" s="150" t="e">
        <f>(O8+P8)*(1/((1+'SoCalGas Calculations'!$J$8)^$B8))</f>
        <v>#N/A</v>
      </c>
    </row>
    <row r="9" spans="1:17" ht="15.6" x14ac:dyDescent="0.3">
      <c r="A9" s="148">
        <v>6</v>
      </c>
      <c r="B9" s="63" t="e">
        <v>#N/A</v>
      </c>
      <c r="C9" s="149"/>
      <c r="D9" s="136"/>
      <c r="E9" s="136" t="e">
        <f>(C9+D9)*(1/((1+'SoCalGas Calculations'!$J$8)^$B9))</f>
        <v>#N/A</v>
      </c>
      <c r="F9" s="150"/>
      <c r="G9" s="149"/>
      <c r="H9" s="136"/>
      <c r="I9" s="136" t="e">
        <f>(G9+H9)*(1/((1+'SoCalGas Calculations'!$J$8)^$B9))</f>
        <v>#N/A</v>
      </c>
      <c r="J9" s="150"/>
      <c r="K9" s="149"/>
      <c r="L9" s="136"/>
      <c r="M9" s="136" t="e">
        <f>(K9+L9)*(1/((1+'SoCalGas Calculations'!$J$8)^$B9))</f>
        <v>#N/A</v>
      </c>
      <c r="N9" s="150"/>
      <c r="O9" s="149"/>
      <c r="P9" s="136"/>
      <c r="Q9" s="150" t="e">
        <f>(O9+P9)*(1/((1+'SoCalGas Calculations'!$J$8)^$B9))</f>
        <v>#N/A</v>
      </c>
    </row>
    <row r="10" spans="1:17" ht="15.6" x14ac:dyDescent="0.3">
      <c r="A10" s="148">
        <v>7</v>
      </c>
      <c r="B10" s="63" t="e">
        <v>#N/A</v>
      </c>
      <c r="C10" s="149"/>
      <c r="D10" s="136"/>
      <c r="E10" s="136" t="e">
        <f>(C10+D10)*(1/((1+'SoCalGas Calculations'!$J$8)^$B10))</f>
        <v>#N/A</v>
      </c>
      <c r="F10" s="150"/>
      <c r="G10" s="149"/>
      <c r="H10" s="136"/>
      <c r="I10" s="136" t="e">
        <f>(G10+H10)*(1/((1+'SoCalGas Calculations'!$J$8)^$B10))</f>
        <v>#N/A</v>
      </c>
      <c r="J10" s="150"/>
      <c r="K10" s="149"/>
      <c r="L10" s="136"/>
      <c r="M10" s="136" t="e">
        <f>(K10+L10)*(1/((1+'SoCalGas Calculations'!$J$8)^$B10))</f>
        <v>#N/A</v>
      </c>
      <c r="N10" s="150"/>
      <c r="O10" s="149"/>
      <c r="P10" s="136"/>
      <c r="Q10" s="150" t="e">
        <f>(O10+P10)*(1/((1+'SoCalGas Calculations'!$J$8)^$B10))</f>
        <v>#N/A</v>
      </c>
    </row>
    <row r="11" spans="1:17" ht="15.6" x14ac:dyDescent="0.3">
      <c r="A11" s="148">
        <v>8</v>
      </c>
      <c r="B11" s="63" t="e">
        <v>#N/A</v>
      </c>
      <c r="C11" s="149"/>
      <c r="D11" s="136"/>
      <c r="E11" s="136" t="e">
        <f>(C11+D11)*(1/((1+'SoCalGas Calculations'!$J$8)^$B11))</f>
        <v>#N/A</v>
      </c>
      <c r="F11" s="150"/>
      <c r="G11" s="149"/>
      <c r="H11" s="136"/>
      <c r="I11" s="136" t="e">
        <f>(G11+H11)*(1/((1+'SoCalGas Calculations'!$J$8)^$B11))</f>
        <v>#N/A</v>
      </c>
      <c r="J11" s="150"/>
      <c r="K11" s="149"/>
      <c r="L11" s="136"/>
      <c r="M11" s="136" t="e">
        <f>(K11+L11)*(1/((1+'SoCalGas Calculations'!$J$8)^$B11))</f>
        <v>#N/A</v>
      </c>
      <c r="N11" s="150"/>
      <c r="O11" s="149"/>
      <c r="P11" s="136"/>
      <c r="Q11" s="150" t="e">
        <f>(O11+P11)*(1/((1+'SoCalGas Calculations'!$J$8)^$B11))</f>
        <v>#N/A</v>
      </c>
    </row>
    <row r="12" spans="1:17" ht="15.6" x14ac:dyDescent="0.3">
      <c r="A12" s="148">
        <v>9</v>
      </c>
      <c r="B12" s="63" t="e">
        <v>#N/A</v>
      </c>
      <c r="C12" s="149"/>
      <c r="D12" s="136"/>
      <c r="E12" s="136" t="e">
        <f>(C12+D12)*(1/((1+'SoCalGas Calculations'!$J$8)^$B12))</f>
        <v>#N/A</v>
      </c>
      <c r="F12" s="150"/>
      <c r="G12" s="149"/>
      <c r="H12" s="136"/>
      <c r="I12" s="136" t="e">
        <f>(G12+H12)*(1/((1+'SoCalGas Calculations'!$J$8)^$B12))</f>
        <v>#N/A</v>
      </c>
      <c r="J12" s="150"/>
      <c r="K12" s="149"/>
      <c r="L12" s="136"/>
      <c r="M12" s="136" t="e">
        <f>(K12+L12)*(1/((1+'SoCalGas Calculations'!$J$8)^$B12))</f>
        <v>#N/A</v>
      </c>
      <c r="N12" s="150"/>
      <c r="O12" s="149"/>
      <c r="P12" s="136"/>
      <c r="Q12" s="150" t="e">
        <f>(O12+P12)*(1/((1+'SoCalGas Calculations'!$J$8)^$B12))</f>
        <v>#N/A</v>
      </c>
    </row>
    <row r="13" spans="1:17" ht="15.6" x14ac:dyDescent="0.3">
      <c r="A13" s="148">
        <v>10</v>
      </c>
      <c r="B13" s="63" t="e">
        <v>#N/A</v>
      </c>
      <c r="C13" s="149"/>
      <c r="D13" s="136"/>
      <c r="E13" s="136" t="e">
        <f>(C13+D13)*(1/((1+'SoCalGas Calculations'!$J$8)^$B13))</f>
        <v>#N/A</v>
      </c>
      <c r="F13" s="150"/>
      <c r="G13" s="149"/>
      <c r="H13" s="136"/>
      <c r="I13" s="136" t="e">
        <f>(G13+H13)*(1/((1+'SoCalGas Calculations'!$J$8)^$B13))</f>
        <v>#N/A</v>
      </c>
      <c r="J13" s="150"/>
      <c r="K13" s="149"/>
      <c r="L13" s="136"/>
      <c r="M13" s="136" t="e">
        <f>(K13+L13)*(1/((1+'SoCalGas Calculations'!$J$8)^$B13))</f>
        <v>#N/A</v>
      </c>
      <c r="N13" s="150"/>
      <c r="O13" s="149"/>
      <c r="P13" s="136"/>
      <c r="Q13" s="150" t="e">
        <f>(O13+P13)*(1/((1+'SoCalGas Calculations'!$J$8)^$B13))</f>
        <v>#N/A</v>
      </c>
    </row>
    <row r="14" spans="1:17" ht="15.6" x14ac:dyDescent="0.3">
      <c r="A14" s="148">
        <v>11</v>
      </c>
      <c r="B14" s="63" t="e">
        <v>#N/A</v>
      </c>
      <c r="C14" s="149"/>
      <c r="D14" s="136"/>
      <c r="E14" s="136" t="e">
        <f>(C14+D14)*(1/((1+'SoCalGas Calculations'!$J$8)^$B14))</f>
        <v>#N/A</v>
      </c>
      <c r="F14" s="150"/>
      <c r="G14" s="149"/>
      <c r="H14" s="136"/>
      <c r="I14" s="136" t="e">
        <f>(G14+H14)*(1/((1+'SoCalGas Calculations'!$J$8)^$B14))</f>
        <v>#N/A</v>
      </c>
      <c r="J14" s="150"/>
      <c r="K14" s="149"/>
      <c r="L14" s="136"/>
      <c r="M14" s="136" t="e">
        <f>(K14+L14)*(1/((1+'SoCalGas Calculations'!$J$8)^$B14))</f>
        <v>#N/A</v>
      </c>
      <c r="N14" s="150"/>
      <c r="O14" s="149"/>
      <c r="P14" s="136"/>
      <c r="Q14" s="150" t="e">
        <f>(O14+P14)*(1/((1+'SoCalGas Calculations'!$J$8)^$B14))</f>
        <v>#N/A</v>
      </c>
    </row>
    <row r="15" spans="1:17" ht="15.6" x14ac:dyDescent="0.3">
      <c r="A15" s="148">
        <v>12</v>
      </c>
      <c r="B15" s="63" t="e">
        <v>#N/A</v>
      </c>
      <c r="C15" s="149"/>
      <c r="D15" s="136"/>
      <c r="E15" s="136" t="e">
        <f>(C15+D15)*(1/((1+'SoCalGas Calculations'!$J$8)^$B15))</f>
        <v>#N/A</v>
      </c>
      <c r="F15" s="150"/>
      <c r="G15" s="149"/>
      <c r="H15" s="136"/>
      <c r="I15" s="136" t="e">
        <f>(G15+H15)*(1/((1+'SoCalGas Calculations'!$J$8)^$B15))</f>
        <v>#N/A</v>
      </c>
      <c r="J15" s="150"/>
      <c r="K15" s="149"/>
      <c r="L15" s="136"/>
      <c r="M15" s="136" t="e">
        <f>(K15+L15)*(1/((1+'SoCalGas Calculations'!$J$8)^$B15))</f>
        <v>#N/A</v>
      </c>
      <c r="N15" s="150"/>
      <c r="O15" s="149"/>
      <c r="P15" s="136"/>
      <c r="Q15" s="150" t="e">
        <f>(O15+P15)*(1/((1+'SoCalGas Calculations'!$J$8)^$B15))</f>
        <v>#N/A</v>
      </c>
    </row>
    <row r="16" spans="1:17" ht="15.6" x14ac:dyDescent="0.3">
      <c r="A16" s="148">
        <v>13</v>
      </c>
      <c r="B16" s="63" t="e">
        <v>#N/A</v>
      </c>
      <c r="C16" s="149"/>
      <c r="D16" s="136"/>
      <c r="E16" s="136" t="e">
        <f>(C16+D16)*(1/((1+'SoCalGas Calculations'!$J$8)^$B16))</f>
        <v>#N/A</v>
      </c>
      <c r="F16" s="150"/>
      <c r="G16" s="149"/>
      <c r="H16" s="136"/>
      <c r="I16" s="136" t="e">
        <f>(G16+H16)*(1/((1+'SoCalGas Calculations'!$J$8)^$B16))</f>
        <v>#N/A</v>
      </c>
      <c r="J16" s="150"/>
      <c r="K16" s="149"/>
      <c r="L16" s="136"/>
      <c r="M16" s="136" t="e">
        <f>(K16+L16)*(1/((1+'SoCalGas Calculations'!$J$8)^$B16))</f>
        <v>#N/A</v>
      </c>
      <c r="N16" s="150"/>
      <c r="O16" s="149"/>
      <c r="P16" s="136"/>
      <c r="Q16" s="150" t="e">
        <f>(O16+P16)*(1/((1+'SoCalGas Calculations'!$J$8)^$B16))</f>
        <v>#N/A</v>
      </c>
    </row>
    <row r="17" spans="1:17" ht="15.6" x14ac:dyDescent="0.3">
      <c r="A17" s="148">
        <v>14</v>
      </c>
      <c r="B17" s="63" t="e">
        <v>#N/A</v>
      </c>
      <c r="C17" s="149"/>
      <c r="D17" s="136"/>
      <c r="E17" s="136" t="e">
        <f>(C17+D17)*(1/((1+'SoCalGas Calculations'!$J$8)^$B17))</f>
        <v>#N/A</v>
      </c>
      <c r="F17" s="150"/>
      <c r="G17" s="149"/>
      <c r="H17" s="136"/>
      <c r="I17" s="136" t="e">
        <f>(G17+H17)*(1/((1+'SoCalGas Calculations'!$J$8)^$B17))</f>
        <v>#N/A</v>
      </c>
      <c r="J17" s="150"/>
      <c r="K17" s="149"/>
      <c r="L17" s="136"/>
      <c r="M17" s="136" t="e">
        <f>(K17+L17)*(1/((1+'SoCalGas Calculations'!$J$8)^$B17))</f>
        <v>#N/A</v>
      </c>
      <c r="N17" s="150"/>
      <c r="O17" s="149"/>
      <c r="P17" s="136"/>
      <c r="Q17" s="150" t="e">
        <f>(O17+P17)*(1/((1+'SoCalGas Calculations'!$J$8)^$B17))</f>
        <v>#N/A</v>
      </c>
    </row>
    <row r="18" spans="1:17" ht="15.6" x14ac:dyDescent="0.3">
      <c r="A18" s="148">
        <v>15</v>
      </c>
      <c r="B18" s="63" t="e">
        <v>#N/A</v>
      </c>
      <c r="C18" s="149"/>
      <c r="D18" s="136"/>
      <c r="E18" s="136" t="e">
        <f>(C18+D18)*(1/((1+'SoCalGas Calculations'!$J$8)^$B18))</f>
        <v>#N/A</v>
      </c>
      <c r="F18" s="150"/>
      <c r="G18" s="149"/>
      <c r="H18" s="136"/>
      <c r="I18" s="136" t="e">
        <f>(G18+H18)*(1/((1+'SoCalGas Calculations'!$J$8)^$B18))</f>
        <v>#N/A</v>
      </c>
      <c r="J18" s="150"/>
      <c r="K18" s="149"/>
      <c r="L18" s="136"/>
      <c r="M18" s="136" t="e">
        <f>(K18+L18)*(1/((1+'SoCalGas Calculations'!$J$8)^$B18))</f>
        <v>#N/A</v>
      </c>
      <c r="N18" s="150"/>
      <c r="O18" s="149"/>
      <c r="P18" s="136"/>
      <c r="Q18" s="150" t="e">
        <f>(O18+P18)*(1/((1+'SoCalGas Calculations'!$J$8)^$B18))</f>
        <v>#N/A</v>
      </c>
    </row>
    <row r="19" spans="1:17" ht="15.6" x14ac:dyDescent="0.3">
      <c r="A19" s="148">
        <v>16</v>
      </c>
      <c r="B19" s="63" t="e">
        <v>#N/A</v>
      </c>
      <c r="C19" s="149"/>
      <c r="D19" s="136"/>
      <c r="E19" s="136" t="e">
        <f>(C19+D19)*(1/((1+'SoCalGas Calculations'!$J$8)^$B19))</f>
        <v>#N/A</v>
      </c>
      <c r="F19" s="150"/>
      <c r="G19" s="149"/>
      <c r="H19" s="136"/>
      <c r="I19" s="136" t="e">
        <f>(G19+H19)*(1/((1+'SoCalGas Calculations'!$J$8)^$B19))</f>
        <v>#N/A</v>
      </c>
      <c r="J19" s="150"/>
      <c r="K19" s="149"/>
      <c r="L19" s="136"/>
      <c r="M19" s="136" t="e">
        <f>(K19+L19)*(1/((1+'SoCalGas Calculations'!$J$8)^$B19))</f>
        <v>#N/A</v>
      </c>
      <c r="N19" s="150"/>
      <c r="O19" s="149"/>
      <c r="P19" s="136"/>
      <c r="Q19" s="150" t="e">
        <f>(O19+P19)*(1/((1+'SoCalGas Calculations'!$J$8)^$B19))</f>
        <v>#N/A</v>
      </c>
    </row>
    <row r="20" spans="1:17" ht="15.6" x14ac:dyDescent="0.3">
      <c r="A20" s="148">
        <v>17</v>
      </c>
      <c r="B20" s="63" t="e">
        <v>#N/A</v>
      </c>
      <c r="C20" s="149"/>
      <c r="D20" s="136"/>
      <c r="E20" s="136" t="e">
        <f>(C20+D20)*(1/((1+'SoCalGas Calculations'!$J$8)^$B20))</f>
        <v>#N/A</v>
      </c>
      <c r="F20" s="150"/>
      <c r="G20" s="149"/>
      <c r="H20" s="136"/>
      <c r="I20" s="136" t="e">
        <f>(G20+H20)*(1/((1+'SoCalGas Calculations'!$J$8)^$B20))</f>
        <v>#N/A</v>
      </c>
      <c r="J20" s="150"/>
      <c r="K20" s="149"/>
      <c r="L20" s="136"/>
      <c r="M20" s="136" t="e">
        <f>(K20+L20)*(1/((1+'SoCalGas Calculations'!$J$8)^$B20))</f>
        <v>#N/A</v>
      </c>
      <c r="N20" s="150"/>
      <c r="O20" s="149"/>
      <c r="P20" s="136"/>
      <c r="Q20" s="150" t="e">
        <f>(O20+P20)*(1/((1+'SoCalGas Calculations'!$J$8)^$B20))</f>
        <v>#N/A</v>
      </c>
    </row>
    <row r="21" spans="1:17" ht="15.6" x14ac:dyDescent="0.3">
      <c r="A21" s="148">
        <v>18</v>
      </c>
      <c r="B21" s="63" t="e">
        <v>#N/A</v>
      </c>
      <c r="C21" s="149"/>
      <c r="D21" s="136"/>
      <c r="E21" s="136" t="e">
        <f>(C21+D21)*(1/((1+'SoCalGas Calculations'!$J$8)^$B21))</f>
        <v>#N/A</v>
      </c>
      <c r="F21" s="150"/>
      <c r="G21" s="149"/>
      <c r="H21" s="136"/>
      <c r="I21" s="136" t="e">
        <f>(G21+H21)*(1/((1+'SoCalGas Calculations'!$J$8)^$B21))</f>
        <v>#N/A</v>
      </c>
      <c r="J21" s="150"/>
      <c r="K21" s="149"/>
      <c r="L21" s="136"/>
      <c r="M21" s="136" t="e">
        <f>(K21+L21)*(1/((1+'SoCalGas Calculations'!$J$8)^$B21))</f>
        <v>#N/A</v>
      </c>
      <c r="N21" s="150"/>
      <c r="O21" s="149"/>
      <c r="P21" s="136"/>
      <c r="Q21" s="150" t="e">
        <f>(O21+P21)*(1/((1+'SoCalGas Calculations'!$J$8)^$B21))</f>
        <v>#N/A</v>
      </c>
    </row>
    <row r="22" spans="1:17" ht="15.6" x14ac:dyDescent="0.3">
      <c r="A22" s="148">
        <v>19</v>
      </c>
      <c r="B22" s="63" t="e">
        <v>#N/A</v>
      </c>
      <c r="C22" s="149"/>
      <c r="D22" s="136"/>
      <c r="E22" s="136" t="e">
        <f>(C22+D22)*(1/((1+'SoCalGas Calculations'!$J$8)^$B22))</f>
        <v>#N/A</v>
      </c>
      <c r="F22" s="150"/>
      <c r="G22" s="149"/>
      <c r="H22" s="136"/>
      <c r="I22" s="136" t="e">
        <f>(G22+H22)*(1/((1+'SoCalGas Calculations'!$J$8)^$B22))</f>
        <v>#N/A</v>
      </c>
      <c r="J22" s="150"/>
      <c r="K22" s="149"/>
      <c r="L22" s="136"/>
      <c r="M22" s="136" t="e">
        <f>(K22+L22)*(1/((1+'SoCalGas Calculations'!$J$8)^$B22))</f>
        <v>#N/A</v>
      </c>
      <c r="N22" s="150"/>
      <c r="O22" s="149"/>
      <c r="P22" s="136"/>
      <c r="Q22" s="150" t="e">
        <f>(O22+P22)*(1/((1+'SoCalGas Calculations'!$J$8)^$B22))</f>
        <v>#N/A</v>
      </c>
    </row>
    <row r="23" spans="1:17" ht="15.6" x14ac:dyDescent="0.3">
      <c r="A23" s="148">
        <v>20</v>
      </c>
      <c r="B23" s="63" t="e">
        <v>#N/A</v>
      </c>
      <c r="C23" s="149"/>
      <c r="D23" s="136"/>
      <c r="E23" s="136" t="e">
        <f>(C23+D23)*(1/((1+'SoCalGas Calculations'!$J$8)^$B23))</f>
        <v>#N/A</v>
      </c>
      <c r="F23" s="150"/>
      <c r="G23" s="149"/>
      <c r="H23" s="136"/>
      <c r="I23" s="136" t="e">
        <f>(G23+H23)*(1/((1+'SoCalGas Calculations'!$J$8)^$B23))</f>
        <v>#N/A</v>
      </c>
      <c r="J23" s="150"/>
      <c r="K23" s="149"/>
      <c r="L23" s="136"/>
      <c r="M23" s="136" t="e">
        <f>(K23+L23)*(1/((1+'SoCalGas Calculations'!$J$8)^$B23))</f>
        <v>#N/A</v>
      </c>
      <c r="N23" s="150"/>
      <c r="O23" s="149"/>
      <c r="P23" s="136"/>
      <c r="Q23" s="150" t="e">
        <f>(O23+P23)*(1/((1+'SoCalGas Calculations'!$J$8)^$B23))</f>
        <v>#N/A</v>
      </c>
    </row>
    <row r="24" spans="1:17" ht="15.6" x14ac:dyDescent="0.3">
      <c r="A24" s="148">
        <v>21</v>
      </c>
      <c r="B24" s="63" t="e">
        <v>#N/A</v>
      </c>
      <c r="C24" s="149"/>
      <c r="D24" s="136"/>
      <c r="E24" s="136" t="e">
        <f>(C24+D24)*(1/((1+'SoCalGas Calculations'!$J$8)^$B24))</f>
        <v>#N/A</v>
      </c>
      <c r="F24" s="150"/>
      <c r="G24" s="149"/>
      <c r="H24" s="136"/>
      <c r="I24" s="136" t="e">
        <f>(G24+H24)*(1/((1+'SoCalGas Calculations'!$J$8)^$B24))</f>
        <v>#N/A</v>
      </c>
      <c r="J24" s="150"/>
      <c r="K24" s="149"/>
      <c r="L24" s="136"/>
      <c r="M24" s="136" t="e">
        <f>(K24+L24)*(1/((1+'SoCalGas Calculations'!$J$8)^$B24))</f>
        <v>#N/A</v>
      </c>
      <c r="N24" s="150"/>
      <c r="O24" s="149"/>
      <c r="P24" s="136"/>
      <c r="Q24" s="150" t="e">
        <f>(O24+P24)*(1/((1+'SoCalGas Calculations'!$J$8)^$B24))</f>
        <v>#N/A</v>
      </c>
    </row>
    <row r="25" spans="1:17" ht="15.6" x14ac:dyDescent="0.3">
      <c r="A25" s="148">
        <v>22</v>
      </c>
      <c r="B25" s="63" t="e">
        <v>#N/A</v>
      </c>
      <c r="C25" s="149"/>
      <c r="D25" s="136"/>
      <c r="E25" s="136" t="e">
        <f>(C25+D25)*(1/((1+'SoCalGas Calculations'!$J$8)^$B25))</f>
        <v>#N/A</v>
      </c>
      <c r="F25" s="150"/>
      <c r="G25" s="149"/>
      <c r="H25" s="136"/>
      <c r="I25" s="136" t="e">
        <f>(G25+H25)*(1/((1+'SoCalGas Calculations'!$J$8)^$B25))</f>
        <v>#N/A</v>
      </c>
      <c r="J25" s="150"/>
      <c r="K25" s="149"/>
      <c r="L25" s="136"/>
      <c r="M25" s="136" t="e">
        <f>(K25+L25)*(1/((1+'SoCalGas Calculations'!$J$8)^$B25))</f>
        <v>#N/A</v>
      </c>
      <c r="N25" s="150"/>
      <c r="O25" s="149"/>
      <c r="P25" s="136"/>
      <c r="Q25" s="150" t="e">
        <f>(O25+P25)*(1/((1+'SoCalGas Calculations'!$J$8)^$B25))</f>
        <v>#N/A</v>
      </c>
    </row>
    <row r="26" spans="1:17" ht="15.6" x14ac:dyDescent="0.3">
      <c r="A26" s="148">
        <v>23</v>
      </c>
      <c r="B26" s="63" t="e">
        <v>#N/A</v>
      </c>
      <c r="C26" s="149"/>
      <c r="D26" s="136"/>
      <c r="E26" s="136" t="e">
        <f>(C26+D26)*(1/((1+'SoCalGas Calculations'!$J$8)^$B26))</f>
        <v>#N/A</v>
      </c>
      <c r="F26" s="150"/>
      <c r="G26" s="149"/>
      <c r="H26" s="136"/>
      <c r="I26" s="136" t="e">
        <f>(G26+H26)*(1/((1+'SoCalGas Calculations'!$J$8)^$B26))</f>
        <v>#N/A</v>
      </c>
      <c r="J26" s="150"/>
      <c r="K26" s="149"/>
      <c r="L26" s="136"/>
      <c r="M26" s="136" t="e">
        <f>(K26+L26)*(1/((1+'SoCalGas Calculations'!$J$8)^$B26))</f>
        <v>#N/A</v>
      </c>
      <c r="N26" s="150"/>
      <c r="O26" s="149"/>
      <c r="P26" s="136"/>
      <c r="Q26" s="150" t="e">
        <f>(O26+P26)*(1/((1+'SoCalGas Calculations'!$J$8)^$B26))</f>
        <v>#N/A</v>
      </c>
    </row>
    <row r="27" spans="1:17" ht="15.6" x14ac:dyDescent="0.3">
      <c r="A27" s="148">
        <v>24</v>
      </c>
      <c r="B27" s="63" t="e">
        <v>#N/A</v>
      </c>
      <c r="C27" s="149"/>
      <c r="D27" s="136"/>
      <c r="E27" s="136" t="e">
        <f>(C27+D27)*(1/((1+'SoCalGas Calculations'!$J$8)^$B27))</f>
        <v>#N/A</v>
      </c>
      <c r="F27" s="150"/>
      <c r="G27" s="149"/>
      <c r="H27" s="136"/>
      <c r="I27" s="136" t="e">
        <f>(G27+H27)*(1/((1+'SoCalGas Calculations'!$J$8)^$B27))</f>
        <v>#N/A</v>
      </c>
      <c r="J27" s="150"/>
      <c r="K27" s="149"/>
      <c r="L27" s="136"/>
      <c r="M27" s="136" t="e">
        <f>(K27+L27)*(1/((1+'SoCalGas Calculations'!$J$8)^$B27))</f>
        <v>#N/A</v>
      </c>
      <c r="N27" s="150"/>
      <c r="O27" s="149"/>
      <c r="P27" s="136"/>
      <c r="Q27" s="150" t="e">
        <f>(O27+P27)*(1/((1+'SoCalGas Calculations'!$J$8)^$B27))</f>
        <v>#N/A</v>
      </c>
    </row>
    <row r="28" spans="1:17" ht="15.6" x14ac:dyDescent="0.3">
      <c r="A28" s="148">
        <v>25</v>
      </c>
      <c r="B28" s="63" t="e">
        <v>#N/A</v>
      </c>
      <c r="C28" s="149"/>
      <c r="D28" s="136"/>
      <c r="E28" s="136" t="e">
        <f>(C28+D28)*(1/((1+'SoCalGas Calculations'!$J$8)^$B28))</f>
        <v>#N/A</v>
      </c>
      <c r="F28" s="150"/>
      <c r="G28" s="149"/>
      <c r="H28" s="136"/>
      <c r="I28" s="136" t="e">
        <f>(G28+H28)*(1/((1+'SoCalGas Calculations'!$J$8)^$B28))</f>
        <v>#N/A</v>
      </c>
      <c r="J28" s="150"/>
      <c r="K28" s="149"/>
      <c r="L28" s="136"/>
      <c r="M28" s="136" t="e">
        <f>(K28+L28)*(1/((1+'SoCalGas Calculations'!$J$8)^$B28))</f>
        <v>#N/A</v>
      </c>
      <c r="N28" s="150"/>
      <c r="O28" s="149"/>
      <c r="P28" s="136"/>
      <c r="Q28" s="150" t="e">
        <f>(O28+P28)*(1/((1+'SoCalGas Calculations'!$J$8)^$B28))</f>
        <v>#N/A</v>
      </c>
    </row>
    <row r="29" spans="1:17" ht="15.6" x14ac:dyDescent="0.3">
      <c r="A29" s="148">
        <v>26</v>
      </c>
      <c r="B29" s="63" t="e">
        <v>#N/A</v>
      </c>
      <c r="C29" s="149"/>
      <c r="D29" s="136"/>
      <c r="E29" s="136" t="e">
        <f>(C29+D29)*(1/((1+'SoCalGas Calculations'!$J$8)^$B29))</f>
        <v>#N/A</v>
      </c>
      <c r="F29" s="150"/>
      <c r="G29" s="149"/>
      <c r="H29" s="136"/>
      <c r="I29" s="136" t="e">
        <f>(G29+H29)*(1/((1+'SoCalGas Calculations'!$J$8)^$B29))</f>
        <v>#N/A</v>
      </c>
      <c r="J29" s="150"/>
      <c r="K29" s="149"/>
      <c r="L29" s="136"/>
      <c r="M29" s="136" t="e">
        <f>(K29+L29)*(1/((1+'SoCalGas Calculations'!$J$8)^$B29))</f>
        <v>#N/A</v>
      </c>
      <c r="N29" s="150"/>
      <c r="O29" s="149"/>
      <c r="P29" s="136"/>
      <c r="Q29" s="150" t="e">
        <f>(O29+P29)*(1/((1+'SoCalGas Calculations'!$J$8)^$B29))</f>
        <v>#N/A</v>
      </c>
    </row>
    <row r="30" spans="1:17" ht="15.6" x14ac:dyDescent="0.3">
      <c r="A30" s="148">
        <v>27</v>
      </c>
      <c r="B30" s="63" t="e">
        <v>#N/A</v>
      </c>
      <c r="C30" s="149"/>
      <c r="D30" s="136"/>
      <c r="E30" s="136" t="e">
        <f>(C30+D30)*(1/((1+'SoCalGas Calculations'!$J$8)^$B30))</f>
        <v>#N/A</v>
      </c>
      <c r="F30" s="150"/>
      <c r="G30" s="149"/>
      <c r="H30" s="136"/>
      <c r="I30" s="136" t="e">
        <f>(G30+H30)*(1/((1+'SoCalGas Calculations'!$J$8)^$B30))</f>
        <v>#N/A</v>
      </c>
      <c r="J30" s="150"/>
      <c r="K30" s="149"/>
      <c r="L30" s="136"/>
      <c r="M30" s="136" t="e">
        <f>(K30+L30)*(1/((1+'SoCalGas Calculations'!$J$8)^$B30))</f>
        <v>#N/A</v>
      </c>
      <c r="N30" s="150"/>
      <c r="O30" s="149"/>
      <c r="P30" s="136"/>
      <c r="Q30" s="150" t="e">
        <f>(O30+P30)*(1/((1+'SoCalGas Calculations'!$J$8)^$B30))</f>
        <v>#N/A</v>
      </c>
    </row>
    <row r="31" spans="1:17" ht="15.6" x14ac:dyDescent="0.3">
      <c r="A31" s="148">
        <v>28</v>
      </c>
      <c r="B31" s="63" t="e">
        <v>#N/A</v>
      </c>
      <c r="C31" s="149"/>
      <c r="D31" s="136"/>
      <c r="E31" s="136" t="e">
        <f>(C31+D31)*(1/((1+'SoCalGas Calculations'!$J$8)^$B31))</f>
        <v>#N/A</v>
      </c>
      <c r="F31" s="150"/>
      <c r="G31" s="149"/>
      <c r="H31" s="136"/>
      <c r="I31" s="136" t="e">
        <f>(G31+H31)*(1/((1+'SoCalGas Calculations'!$J$8)^$B31))</f>
        <v>#N/A</v>
      </c>
      <c r="J31" s="150"/>
      <c r="K31" s="149"/>
      <c r="L31" s="136"/>
      <c r="M31" s="136" t="e">
        <f>(K31+L31)*(1/((1+'SoCalGas Calculations'!$J$8)^$B31))</f>
        <v>#N/A</v>
      </c>
      <c r="N31" s="150"/>
      <c r="O31" s="149"/>
      <c r="P31" s="136"/>
      <c r="Q31" s="150" t="e">
        <f>(O31+P31)*(1/((1+'SoCalGas Calculations'!$J$8)^$B31))</f>
        <v>#N/A</v>
      </c>
    </row>
    <row r="32" spans="1:17" ht="15.6" x14ac:dyDescent="0.3">
      <c r="A32" s="148">
        <v>29</v>
      </c>
      <c r="B32" s="63" t="e">
        <v>#N/A</v>
      </c>
      <c r="C32" s="149"/>
      <c r="D32" s="136"/>
      <c r="E32" s="136" t="e">
        <f>(C32+D32)*(1/((1+'SoCalGas Calculations'!$J$8)^$B32))</f>
        <v>#N/A</v>
      </c>
      <c r="F32" s="150"/>
      <c r="G32" s="149"/>
      <c r="H32" s="136"/>
      <c r="I32" s="136" t="e">
        <f>(G32+H32)*(1/((1+'SoCalGas Calculations'!$J$8)^$B32))</f>
        <v>#N/A</v>
      </c>
      <c r="J32" s="150"/>
      <c r="K32" s="149"/>
      <c r="L32" s="136"/>
      <c r="M32" s="136" t="e">
        <f>(K32+L32)*(1/((1+'SoCalGas Calculations'!$J$8)^$B32))</f>
        <v>#N/A</v>
      </c>
      <c r="N32" s="150"/>
      <c r="O32" s="149"/>
      <c r="P32" s="136"/>
      <c r="Q32" s="150" t="e">
        <f>(O32+P32)*(1/((1+'SoCalGas Calculations'!$J$8)^$B32))</f>
        <v>#N/A</v>
      </c>
    </row>
    <row r="33" spans="1:17" ht="15.6" x14ac:dyDescent="0.3">
      <c r="A33" s="148">
        <v>30</v>
      </c>
      <c r="B33" s="63" t="e">
        <v>#N/A</v>
      </c>
      <c r="C33" s="149"/>
      <c r="D33" s="136"/>
      <c r="E33" s="136" t="e">
        <f>(C33+D33)*(1/((1+'SoCalGas Calculations'!$J$8)^$B33))</f>
        <v>#N/A</v>
      </c>
      <c r="F33" s="150"/>
      <c r="G33" s="149"/>
      <c r="H33" s="136"/>
      <c r="I33" s="136" t="e">
        <f>(G33+H33)*(1/((1+'SoCalGas Calculations'!$J$8)^$B33))</f>
        <v>#N/A</v>
      </c>
      <c r="J33" s="150"/>
      <c r="K33" s="149"/>
      <c r="L33" s="136"/>
      <c r="M33" s="136" t="e">
        <f>(K33+L33)*(1/((1+'SoCalGas Calculations'!$J$8)^$B33))</f>
        <v>#N/A</v>
      </c>
      <c r="N33" s="150"/>
      <c r="O33" s="149"/>
      <c r="P33" s="136"/>
      <c r="Q33" s="150" t="e">
        <f>(O33+P33)*(1/((1+'SoCalGas Calculations'!$J$8)^$B33))</f>
        <v>#N/A</v>
      </c>
    </row>
    <row r="34" spans="1:17" ht="15.6" x14ac:dyDescent="0.3">
      <c r="A34" s="148">
        <v>31</v>
      </c>
      <c r="B34" s="63" t="e">
        <v>#N/A</v>
      </c>
      <c r="C34" s="149"/>
      <c r="D34" s="136"/>
      <c r="E34" s="136" t="e">
        <f>(C34+D34)*(1/((1+'SoCalGas Calculations'!$J$8)^$B34))</f>
        <v>#N/A</v>
      </c>
      <c r="F34" s="150"/>
      <c r="G34" s="149"/>
      <c r="H34" s="136"/>
      <c r="I34" s="136" t="e">
        <f>(G34+H34)*(1/((1+'SoCalGas Calculations'!$J$8)^$B34))</f>
        <v>#N/A</v>
      </c>
      <c r="J34" s="150"/>
      <c r="K34" s="149"/>
      <c r="L34" s="136"/>
      <c r="M34" s="136" t="e">
        <f>(K34+L34)*(1/((1+'SoCalGas Calculations'!$J$8)^$B34))</f>
        <v>#N/A</v>
      </c>
      <c r="N34" s="150"/>
      <c r="O34" s="149"/>
      <c r="P34" s="136"/>
      <c r="Q34" s="150" t="e">
        <f>(O34+P34)*(1/((1+'SoCalGas Calculations'!$J$8)^$B34))</f>
        <v>#N/A</v>
      </c>
    </row>
    <row r="35" spans="1:17" ht="15.6" x14ac:dyDescent="0.3">
      <c r="A35" s="148">
        <v>32</v>
      </c>
      <c r="B35" s="63" t="e">
        <v>#N/A</v>
      </c>
      <c r="C35" s="149"/>
      <c r="D35" s="136"/>
      <c r="E35" s="136" t="e">
        <f>(C35+D35)*(1/((1+'SoCalGas Calculations'!$J$8)^$B35))</f>
        <v>#N/A</v>
      </c>
      <c r="F35" s="150"/>
      <c r="G35" s="149"/>
      <c r="H35" s="136"/>
      <c r="I35" s="136" t="e">
        <f>(G35+H35)*(1/((1+'SoCalGas Calculations'!$J$8)^$B35))</f>
        <v>#N/A</v>
      </c>
      <c r="J35" s="150"/>
      <c r="K35" s="149"/>
      <c r="L35" s="136"/>
      <c r="M35" s="136" t="e">
        <f>(K35+L35)*(1/((1+'SoCalGas Calculations'!$J$8)^$B35))</f>
        <v>#N/A</v>
      </c>
      <c r="N35" s="150"/>
      <c r="O35" s="149"/>
      <c r="P35" s="136"/>
      <c r="Q35" s="150" t="e">
        <f>(O35+P35)*(1/((1+'SoCalGas Calculations'!$J$8)^$B35))</f>
        <v>#N/A</v>
      </c>
    </row>
    <row r="36" spans="1:17" ht="15.6" x14ac:dyDescent="0.3">
      <c r="A36" s="148">
        <v>33</v>
      </c>
      <c r="B36" s="63" t="e">
        <v>#N/A</v>
      </c>
      <c r="C36" s="149"/>
      <c r="D36" s="136"/>
      <c r="E36" s="136" t="e">
        <f>(C36+D36)*(1/((1+'SoCalGas Calculations'!$J$8)^$B36))</f>
        <v>#N/A</v>
      </c>
      <c r="F36" s="150"/>
      <c r="G36" s="149"/>
      <c r="H36" s="136"/>
      <c r="I36" s="136" t="e">
        <f>(G36+H36)*(1/((1+'SoCalGas Calculations'!$J$8)^$B36))</f>
        <v>#N/A</v>
      </c>
      <c r="J36" s="150"/>
      <c r="K36" s="149"/>
      <c r="L36" s="136"/>
      <c r="M36" s="136" t="e">
        <f>(K36+L36)*(1/((1+'SoCalGas Calculations'!$J$8)^$B36))</f>
        <v>#N/A</v>
      </c>
      <c r="N36" s="150"/>
      <c r="O36" s="149"/>
      <c r="P36" s="136"/>
      <c r="Q36" s="150" t="e">
        <f>(O36+P36)*(1/((1+'SoCalGas Calculations'!$J$8)^$B36))</f>
        <v>#N/A</v>
      </c>
    </row>
    <row r="37" spans="1:17" ht="15.6" x14ac:dyDescent="0.3">
      <c r="A37" s="148">
        <v>34</v>
      </c>
      <c r="B37" s="63" t="e">
        <v>#N/A</v>
      </c>
      <c r="C37" s="149"/>
      <c r="D37" s="136"/>
      <c r="E37" s="136" t="e">
        <f>(C37+D37)*(1/((1+'SoCalGas Calculations'!$J$8)^$B37))</f>
        <v>#N/A</v>
      </c>
      <c r="F37" s="150"/>
      <c r="G37" s="149"/>
      <c r="H37" s="136"/>
      <c r="I37" s="136" t="e">
        <f>(G37+H37)*(1/((1+'SoCalGas Calculations'!$J$8)^$B37))</f>
        <v>#N/A</v>
      </c>
      <c r="J37" s="150"/>
      <c r="K37" s="149"/>
      <c r="L37" s="136"/>
      <c r="M37" s="136" t="e">
        <f>(K37+L37)*(1/((1+'SoCalGas Calculations'!$J$8)^$B37))</f>
        <v>#N/A</v>
      </c>
      <c r="N37" s="150"/>
      <c r="O37" s="149"/>
      <c r="P37" s="136"/>
      <c r="Q37" s="150" t="e">
        <f>(O37+P37)*(1/((1+'SoCalGas Calculations'!$J$8)^$B37))</f>
        <v>#N/A</v>
      </c>
    </row>
    <row r="38" spans="1:17" ht="15.6" x14ac:dyDescent="0.3">
      <c r="A38" s="148">
        <v>35</v>
      </c>
      <c r="B38" s="63" t="e">
        <v>#N/A</v>
      </c>
      <c r="C38" s="149"/>
      <c r="D38" s="136"/>
      <c r="E38" s="136" t="e">
        <f>(C38+D38)*(1/((1+'SoCalGas Calculations'!$J$8)^$B38))</f>
        <v>#N/A</v>
      </c>
      <c r="F38" s="150"/>
      <c r="G38" s="149"/>
      <c r="H38" s="136"/>
      <c r="I38" s="136" t="e">
        <f>(G38+H38)*(1/((1+'SoCalGas Calculations'!$J$8)^$B38))</f>
        <v>#N/A</v>
      </c>
      <c r="J38" s="150"/>
      <c r="K38" s="149"/>
      <c r="L38" s="136"/>
      <c r="M38" s="136" t="e">
        <f>(K38+L38)*(1/((1+'SoCalGas Calculations'!$J$8)^$B38))</f>
        <v>#N/A</v>
      </c>
      <c r="N38" s="150"/>
      <c r="O38" s="149"/>
      <c r="P38" s="136"/>
      <c r="Q38" s="150" t="e">
        <f>(O38+P38)*(1/((1+'SoCalGas Calculations'!$J$8)^$B38))</f>
        <v>#N/A</v>
      </c>
    </row>
    <row r="39" spans="1:17" ht="15.6" x14ac:dyDescent="0.3">
      <c r="A39" s="148">
        <v>36</v>
      </c>
      <c r="B39" s="63" t="e">
        <v>#N/A</v>
      </c>
      <c r="C39" s="149"/>
      <c r="D39" s="136"/>
      <c r="E39" s="136" t="e">
        <f>(C39+D39)*(1/((1+'SoCalGas Calculations'!$J$8)^$B39))</f>
        <v>#N/A</v>
      </c>
      <c r="F39" s="150"/>
      <c r="G39" s="149"/>
      <c r="H39" s="136"/>
      <c r="I39" s="136" t="e">
        <f>(G39+H39)*(1/((1+'SoCalGas Calculations'!$J$8)^$B39))</f>
        <v>#N/A</v>
      </c>
      <c r="J39" s="150"/>
      <c r="K39" s="149"/>
      <c r="L39" s="136"/>
      <c r="M39" s="136" t="e">
        <f>(K39+L39)*(1/((1+'SoCalGas Calculations'!$J$8)^$B39))</f>
        <v>#N/A</v>
      </c>
      <c r="N39" s="150"/>
      <c r="O39" s="149"/>
      <c r="P39" s="136"/>
      <c r="Q39" s="150" t="e">
        <f>(O39+P39)*(1/((1+'SoCalGas Calculations'!$J$8)^$B39))</f>
        <v>#N/A</v>
      </c>
    </row>
    <row r="40" spans="1:17" ht="15.6" x14ac:dyDescent="0.3">
      <c r="A40" s="148">
        <v>37</v>
      </c>
      <c r="B40" s="63" t="e">
        <v>#N/A</v>
      </c>
      <c r="C40" s="149"/>
      <c r="D40" s="136"/>
      <c r="E40" s="136" t="e">
        <f>(C40+D40)*(1/((1+'SoCalGas Calculations'!$J$8)^$B40))</f>
        <v>#N/A</v>
      </c>
      <c r="F40" s="150"/>
      <c r="G40" s="149"/>
      <c r="H40" s="136"/>
      <c r="I40" s="136" t="e">
        <f>(G40+H40)*(1/((1+'SoCalGas Calculations'!$J$8)^$B40))</f>
        <v>#N/A</v>
      </c>
      <c r="J40" s="150"/>
      <c r="K40" s="149"/>
      <c r="L40" s="136"/>
      <c r="M40" s="136" t="e">
        <f>(K40+L40)*(1/((1+'SoCalGas Calculations'!$J$8)^$B40))</f>
        <v>#N/A</v>
      </c>
      <c r="N40" s="150"/>
      <c r="O40" s="149"/>
      <c r="P40" s="136"/>
      <c r="Q40" s="150" t="e">
        <f>(O40+P40)*(1/((1+'SoCalGas Calculations'!$J$8)^$B40))</f>
        <v>#N/A</v>
      </c>
    </row>
    <row r="41" spans="1:17" ht="15.6" x14ac:dyDescent="0.3">
      <c r="A41" s="148">
        <v>38</v>
      </c>
      <c r="B41" s="63" t="e">
        <v>#N/A</v>
      </c>
      <c r="C41" s="149"/>
      <c r="D41" s="136"/>
      <c r="E41" s="136" t="e">
        <f>(C41+D41)*(1/((1+'SoCalGas Calculations'!$J$8)^$B41))</f>
        <v>#N/A</v>
      </c>
      <c r="F41" s="150"/>
      <c r="G41" s="149"/>
      <c r="H41" s="136"/>
      <c r="I41" s="136" t="e">
        <f>(G41+H41)*(1/((1+'SoCalGas Calculations'!$J$8)^$B41))</f>
        <v>#N/A</v>
      </c>
      <c r="J41" s="150"/>
      <c r="K41" s="149"/>
      <c r="L41" s="136"/>
      <c r="M41" s="136" t="e">
        <f>(K41+L41)*(1/((1+'SoCalGas Calculations'!$J$8)^$B41))</f>
        <v>#N/A</v>
      </c>
      <c r="N41" s="150"/>
      <c r="O41" s="149"/>
      <c r="P41" s="136"/>
      <c r="Q41" s="150" t="e">
        <f>(O41+P41)*(1/((1+'SoCalGas Calculations'!$J$8)^$B41))</f>
        <v>#N/A</v>
      </c>
    </row>
    <row r="42" spans="1:17" ht="15.6" x14ac:dyDescent="0.3">
      <c r="A42" s="148">
        <v>39</v>
      </c>
      <c r="B42" s="63" t="e">
        <v>#N/A</v>
      </c>
      <c r="C42" s="149"/>
      <c r="D42" s="136"/>
      <c r="E42" s="136" t="e">
        <f>(C42+D42)*(1/((1+'SoCalGas Calculations'!$J$8)^$B42))</f>
        <v>#N/A</v>
      </c>
      <c r="F42" s="150"/>
      <c r="G42" s="149"/>
      <c r="H42" s="136"/>
      <c r="I42" s="136" t="e">
        <f>(G42+H42)*(1/((1+'SoCalGas Calculations'!$J$8)^$B42))</f>
        <v>#N/A</v>
      </c>
      <c r="J42" s="150"/>
      <c r="K42" s="149"/>
      <c r="L42" s="136"/>
      <c r="M42" s="136" t="e">
        <f>(K42+L42)*(1/((1+'SoCalGas Calculations'!$J$8)^$B42))</f>
        <v>#N/A</v>
      </c>
      <c r="N42" s="150"/>
      <c r="O42" s="149"/>
      <c r="P42" s="136"/>
      <c r="Q42" s="150" t="e">
        <f>(O42+P42)*(1/((1+'SoCalGas Calculations'!$J$8)^$B42))</f>
        <v>#N/A</v>
      </c>
    </row>
    <row r="43" spans="1:17" ht="15.6" x14ac:dyDescent="0.3">
      <c r="A43" s="148">
        <v>40</v>
      </c>
      <c r="B43" s="63" t="e">
        <v>#N/A</v>
      </c>
      <c r="C43" s="149"/>
      <c r="D43" s="136"/>
      <c r="E43" s="136" t="e">
        <f>(C43+D43)*(1/((1+'SoCalGas Calculations'!$J$8)^$B43))</f>
        <v>#N/A</v>
      </c>
      <c r="F43" s="150"/>
      <c r="G43" s="149"/>
      <c r="H43" s="136"/>
      <c r="I43" s="136" t="e">
        <f>(G43+H43)*(1/((1+'SoCalGas Calculations'!$J$8)^$B43))</f>
        <v>#N/A</v>
      </c>
      <c r="J43" s="150"/>
      <c r="K43" s="149"/>
      <c r="L43" s="136"/>
      <c r="M43" s="136" t="e">
        <f>(K43+L43)*(1/((1+'SoCalGas Calculations'!$J$8)^$B43))</f>
        <v>#N/A</v>
      </c>
      <c r="N43" s="150"/>
      <c r="O43" s="149"/>
      <c r="P43" s="136"/>
      <c r="Q43" s="150" t="e">
        <f>(O43+P43)*(1/((1+'SoCalGas Calculations'!$J$8)^$B43))</f>
        <v>#N/A</v>
      </c>
    </row>
    <row r="44" spans="1:17" ht="15.6" x14ac:dyDescent="0.3">
      <c r="A44" s="148">
        <v>41</v>
      </c>
      <c r="B44" s="63" t="e">
        <v>#N/A</v>
      </c>
      <c r="C44" s="149"/>
      <c r="D44" s="136"/>
      <c r="E44" s="136" t="e">
        <f>(C44+D44)*(1/((1+'SoCalGas Calculations'!$J$8)^$B44))</f>
        <v>#N/A</v>
      </c>
      <c r="F44" s="150"/>
      <c r="G44" s="149"/>
      <c r="H44" s="136"/>
      <c r="I44" s="136" t="e">
        <f>(G44+H44)*(1/((1+'SoCalGas Calculations'!$J$8)^$B44))</f>
        <v>#N/A</v>
      </c>
      <c r="J44" s="150"/>
      <c r="K44" s="149"/>
      <c r="L44" s="136"/>
      <c r="M44" s="136" t="e">
        <f>(K44+L44)*(1/((1+'SoCalGas Calculations'!$J$8)^$B44))</f>
        <v>#N/A</v>
      </c>
      <c r="N44" s="150"/>
      <c r="O44" s="149"/>
      <c r="P44" s="136"/>
      <c r="Q44" s="150" t="e">
        <f>(O44+P44)*(1/((1+'SoCalGas Calculations'!$J$8)^$B44))</f>
        <v>#N/A</v>
      </c>
    </row>
    <row r="45" spans="1:17" ht="15.6" x14ac:dyDescent="0.3">
      <c r="A45" s="148">
        <v>42</v>
      </c>
      <c r="B45" s="63" t="e">
        <v>#N/A</v>
      </c>
      <c r="C45" s="149"/>
      <c r="D45" s="136"/>
      <c r="E45" s="136" t="e">
        <f>(C45+D45)*(1/((1+'SoCalGas Calculations'!$J$8)^$B45))</f>
        <v>#N/A</v>
      </c>
      <c r="F45" s="150"/>
      <c r="G45" s="149"/>
      <c r="H45" s="136"/>
      <c r="I45" s="136" t="e">
        <f>(G45+H45)*(1/((1+'SoCalGas Calculations'!$J$8)^$B45))</f>
        <v>#N/A</v>
      </c>
      <c r="J45" s="150"/>
      <c r="K45" s="149"/>
      <c r="L45" s="136"/>
      <c r="M45" s="136" t="e">
        <f>(K45+L45)*(1/((1+'SoCalGas Calculations'!$J$8)^$B45))</f>
        <v>#N/A</v>
      </c>
      <c r="N45" s="150"/>
      <c r="O45" s="149"/>
      <c r="P45" s="136"/>
      <c r="Q45" s="150" t="e">
        <f>(O45+P45)*(1/((1+'SoCalGas Calculations'!$J$8)^$B45))</f>
        <v>#N/A</v>
      </c>
    </row>
    <row r="46" spans="1:17" ht="15.6" x14ac:dyDescent="0.3">
      <c r="A46" s="148">
        <v>43</v>
      </c>
      <c r="B46" s="63" t="e">
        <v>#N/A</v>
      </c>
      <c r="C46" s="149"/>
      <c r="D46" s="136"/>
      <c r="E46" s="136" t="e">
        <f>(C46+D46)*(1/((1+'SoCalGas Calculations'!$J$8)^$B46))</f>
        <v>#N/A</v>
      </c>
      <c r="F46" s="150"/>
      <c r="G46" s="149"/>
      <c r="H46" s="136"/>
      <c r="I46" s="136" t="e">
        <f>(G46+H46)*(1/((1+'SoCalGas Calculations'!$J$8)^$B46))</f>
        <v>#N/A</v>
      </c>
      <c r="J46" s="150"/>
      <c r="K46" s="149"/>
      <c r="L46" s="136"/>
      <c r="M46" s="136" t="e">
        <f>(K46+L46)*(1/((1+'SoCalGas Calculations'!$J$8)^$B46))</f>
        <v>#N/A</v>
      </c>
      <c r="N46" s="150"/>
      <c r="O46" s="149"/>
      <c r="P46" s="136"/>
      <c r="Q46" s="150" t="e">
        <f>(O46+P46)*(1/((1+'SoCalGas Calculations'!$J$8)^$B46))</f>
        <v>#N/A</v>
      </c>
    </row>
    <row r="47" spans="1:17" ht="15.6" x14ac:dyDescent="0.3">
      <c r="A47" s="148">
        <v>44</v>
      </c>
      <c r="B47" s="63" t="e">
        <v>#N/A</v>
      </c>
      <c r="C47" s="149"/>
      <c r="D47" s="136"/>
      <c r="E47" s="136" t="e">
        <f>(C47+D47)*(1/((1+'SoCalGas Calculations'!$J$8)^$B47))</f>
        <v>#N/A</v>
      </c>
      <c r="F47" s="150"/>
      <c r="G47" s="149"/>
      <c r="H47" s="136"/>
      <c r="I47" s="136" t="e">
        <f>(G47+H47)*(1/((1+'SoCalGas Calculations'!$J$8)^$B47))</f>
        <v>#N/A</v>
      </c>
      <c r="J47" s="150"/>
      <c r="K47" s="149"/>
      <c r="L47" s="136"/>
      <c r="M47" s="136" t="e">
        <f>(K47+L47)*(1/((1+'SoCalGas Calculations'!$J$8)^$B47))</f>
        <v>#N/A</v>
      </c>
      <c r="N47" s="150"/>
      <c r="O47" s="149"/>
      <c r="P47" s="136"/>
      <c r="Q47" s="150" t="e">
        <f>(O47+P47)*(1/((1+'SoCalGas Calculations'!$J$8)^$B47))</f>
        <v>#N/A</v>
      </c>
    </row>
    <row r="48" spans="1:17" ht="15.6" x14ac:dyDescent="0.3">
      <c r="A48" s="148">
        <v>45</v>
      </c>
      <c r="B48" s="63"/>
      <c r="C48" s="149"/>
      <c r="D48" s="136"/>
      <c r="E48" s="136">
        <f>(C48+D48)*(1/((1+'SoCalGas Calculations'!$J$8)^$B48))</f>
        <v>0</v>
      </c>
      <c r="F48" s="150"/>
      <c r="G48" s="149"/>
      <c r="H48" s="136"/>
      <c r="I48" s="136">
        <f>(G48+H48)*(1/((1+'SoCalGas Calculations'!$J$8)^$B48))</f>
        <v>0</v>
      </c>
      <c r="J48" s="150"/>
      <c r="K48" s="149"/>
      <c r="L48" s="136"/>
      <c r="M48" s="136">
        <f>(K48+L48)*(1/((1+'SoCalGas Calculations'!$J$8)^$B48))</f>
        <v>0</v>
      </c>
      <c r="N48" s="150"/>
      <c r="O48" s="149"/>
      <c r="P48" s="136"/>
      <c r="Q48" s="150">
        <f>(O48+P48)*(1/((1+'SoCalGas Calculations'!$J$8)^$B48))</f>
        <v>0</v>
      </c>
    </row>
    <row r="49" spans="1:17" ht="15.6" x14ac:dyDescent="0.3">
      <c r="A49" s="148">
        <v>46</v>
      </c>
      <c r="B49" s="63"/>
      <c r="C49" s="149"/>
      <c r="D49" s="136"/>
      <c r="E49" s="136">
        <f>(C49+D49)*(1/((1+'SoCalGas Calculations'!$J$8)^$B49))</f>
        <v>0</v>
      </c>
      <c r="F49" s="150"/>
      <c r="G49" s="149"/>
      <c r="H49" s="136"/>
      <c r="I49" s="136">
        <f>(G49+H49)*(1/((1+'SoCalGas Calculations'!$J$8)^$B49))</f>
        <v>0</v>
      </c>
      <c r="J49" s="150"/>
      <c r="K49" s="149"/>
      <c r="L49" s="136"/>
      <c r="M49" s="136">
        <f>(K49+L49)*(1/((1+'SoCalGas Calculations'!$J$8)^$B49))</f>
        <v>0</v>
      </c>
      <c r="N49" s="150"/>
      <c r="O49" s="149"/>
      <c r="P49" s="136"/>
      <c r="Q49" s="150">
        <f>(O49+P49)*(1/((1+'SoCalGas Calculations'!$J$8)^$B49))</f>
        <v>0</v>
      </c>
    </row>
    <row r="50" spans="1:17" ht="15.6" x14ac:dyDescent="0.3">
      <c r="A50" s="148">
        <v>47</v>
      </c>
      <c r="B50" s="63"/>
      <c r="C50" s="149"/>
      <c r="D50" s="136"/>
      <c r="E50" s="136">
        <f>(C50+D50)*(1/((1+'SoCalGas Calculations'!$J$8)^$B50))</f>
        <v>0</v>
      </c>
      <c r="F50" s="150"/>
      <c r="G50" s="149"/>
      <c r="H50" s="136"/>
      <c r="I50" s="136">
        <f>(G50+H50)*(1/((1+'SoCalGas Calculations'!$J$8)^$B50))</f>
        <v>0</v>
      </c>
      <c r="J50" s="150"/>
      <c r="K50" s="149"/>
      <c r="L50" s="136"/>
      <c r="M50" s="136">
        <f>(K50+L50)*(1/((1+'SoCalGas Calculations'!$J$8)^$B50))</f>
        <v>0</v>
      </c>
      <c r="N50" s="150"/>
      <c r="O50" s="149"/>
      <c r="P50" s="136"/>
      <c r="Q50" s="150">
        <f>(O50+P50)*(1/((1+'SoCalGas Calculations'!$J$8)^$B50))</f>
        <v>0</v>
      </c>
    </row>
    <row r="51" spans="1:17" ht="15.6" x14ac:dyDescent="0.3">
      <c r="A51" s="148">
        <v>48</v>
      </c>
      <c r="B51" s="63"/>
      <c r="C51" s="149"/>
      <c r="D51" s="136"/>
      <c r="E51" s="136">
        <f>(C51+D51)*(1/((1+'SoCalGas Calculations'!$J$8)^$B51))</f>
        <v>0</v>
      </c>
      <c r="F51" s="150"/>
      <c r="G51" s="149"/>
      <c r="H51" s="136"/>
      <c r="I51" s="136">
        <f>(G51+H51)*(1/((1+'SoCalGas Calculations'!$J$8)^$B51))</f>
        <v>0</v>
      </c>
      <c r="J51" s="150"/>
      <c r="K51" s="149"/>
      <c r="L51" s="136"/>
      <c r="M51" s="136">
        <f>(K51+L51)*(1/((1+'SoCalGas Calculations'!$J$8)^$B51))</f>
        <v>0</v>
      </c>
      <c r="N51" s="150"/>
      <c r="O51" s="149"/>
      <c r="P51" s="136"/>
      <c r="Q51" s="150">
        <f>(O51+P51)*(1/((1+'SoCalGas Calculations'!$J$8)^$B51))</f>
        <v>0</v>
      </c>
    </row>
    <row r="52" spans="1:17" ht="15.6" x14ac:dyDescent="0.3">
      <c r="A52" s="148">
        <v>49</v>
      </c>
      <c r="B52" s="63"/>
      <c r="C52" s="149"/>
      <c r="D52" s="136"/>
      <c r="E52" s="136">
        <f>(C52+D52)*(1/((1+'SoCalGas Calculations'!$J$8)^$B52))</f>
        <v>0</v>
      </c>
      <c r="F52" s="150"/>
      <c r="G52" s="149"/>
      <c r="H52" s="136"/>
      <c r="I52" s="136">
        <f>(G52+H52)*(1/((1+'SoCalGas Calculations'!$J$8)^$B52))</f>
        <v>0</v>
      </c>
      <c r="J52" s="150"/>
      <c r="K52" s="149"/>
      <c r="L52" s="136"/>
      <c r="M52" s="136">
        <f>(K52+L52)*(1/((1+'SoCalGas Calculations'!$J$8)^$B52))</f>
        <v>0</v>
      </c>
      <c r="N52" s="150"/>
      <c r="O52" s="149"/>
      <c r="P52" s="136"/>
      <c r="Q52" s="150">
        <f>(O52+P52)*(1/((1+'SoCalGas Calculations'!$J$8)^$B52))</f>
        <v>0</v>
      </c>
    </row>
    <row r="53" spans="1:17" ht="15.6" x14ac:dyDescent="0.3">
      <c r="A53" s="148">
        <v>50</v>
      </c>
      <c r="B53" s="63"/>
      <c r="C53" s="149"/>
      <c r="D53" s="136"/>
      <c r="E53" s="136">
        <f>(C53+D53)*(1/((1+'SoCalGas Calculations'!$J$8)^$B53))</f>
        <v>0</v>
      </c>
      <c r="F53" s="150"/>
      <c r="G53" s="149"/>
      <c r="H53" s="136"/>
      <c r="I53" s="136">
        <f>(G53+H53)*(1/((1+'SoCalGas Calculations'!$J$8)^$B53))</f>
        <v>0</v>
      </c>
      <c r="J53" s="150"/>
      <c r="K53" s="149"/>
      <c r="L53" s="136"/>
      <c r="M53" s="136">
        <f>(K53+L53)*(1/((1+'SoCalGas Calculations'!$J$8)^$B53))</f>
        <v>0</v>
      </c>
      <c r="N53" s="150"/>
      <c r="O53" s="149"/>
      <c r="P53" s="136"/>
      <c r="Q53" s="150">
        <f>(O53+P53)*(1/((1+'SoCalGas Calculations'!$J$8)^$B53))</f>
        <v>0</v>
      </c>
    </row>
    <row r="54" spans="1:17" ht="15.6" x14ac:dyDescent="0.3">
      <c r="A54" s="148">
        <v>51</v>
      </c>
      <c r="B54" s="63"/>
      <c r="C54" s="149"/>
      <c r="D54" s="136"/>
      <c r="E54" s="136">
        <f>(C54+D54)*(1/((1+'SoCalGas Calculations'!$J$8)^$B54))</f>
        <v>0</v>
      </c>
      <c r="F54" s="150"/>
      <c r="G54" s="149"/>
      <c r="H54" s="136"/>
      <c r="I54" s="136">
        <f>(G54+H54)*(1/((1+'SoCalGas Calculations'!$J$8)^$B54))</f>
        <v>0</v>
      </c>
      <c r="J54" s="150"/>
      <c r="K54" s="149"/>
      <c r="L54" s="136"/>
      <c r="M54" s="136">
        <f>(K54+L54)*(1/((1+'SoCalGas Calculations'!$J$8)^$B54))</f>
        <v>0</v>
      </c>
      <c r="N54" s="150"/>
      <c r="O54" s="149"/>
      <c r="P54" s="136"/>
      <c r="Q54" s="150">
        <f>(O54+P54)*(1/((1+'SoCalGas Calculations'!$J$8)^$B54))</f>
        <v>0</v>
      </c>
    </row>
    <row r="55" spans="1:17" ht="15.6" x14ac:dyDescent="0.3">
      <c r="A55" s="148">
        <v>52</v>
      </c>
      <c r="B55" s="63"/>
      <c r="C55" s="149"/>
      <c r="D55" s="136"/>
      <c r="E55" s="136">
        <f>(C55+D55)*(1/((1+'SoCalGas Calculations'!$J$8)^$B55))</f>
        <v>0</v>
      </c>
      <c r="F55" s="150"/>
      <c r="G55" s="149"/>
      <c r="H55" s="136"/>
      <c r="I55" s="136">
        <f>(G55+H55)*(1/((1+'SoCalGas Calculations'!$J$8)^$B55))</f>
        <v>0</v>
      </c>
      <c r="J55" s="150"/>
      <c r="K55" s="149"/>
      <c r="L55" s="136"/>
      <c r="M55" s="136">
        <f>(K55+L55)*(1/((1+'SoCalGas Calculations'!$J$8)^$B55))</f>
        <v>0</v>
      </c>
      <c r="N55" s="150"/>
      <c r="O55" s="149"/>
      <c r="P55" s="136"/>
      <c r="Q55" s="150">
        <f>(O55+P55)*(1/((1+'SoCalGas Calculations'!$J$8)^$B55))</f>
        <v>0</v>
      </c>
    </row>
    <row r="56" spans="1:17" ht="15.6" x14ac:dyDescent="0.3">
      <c r="A56" s="148">
        <v>53</v>
      </c>
      <c r="B56" s="63"/>
      <c r="C56" s="149"/>
      <c r="D56" s="136"/>
      <c r="E56" s="136">
        <f>(C56+D56)*(1/((1+'SoCalGas Calculations'!$J$8)^$B56))</f>
        <v>0</v>
      </c>
      <c r="F56" s="150"/>
      <c r="G56" s="149"/>
      <c r="H56" s="136"/>
      <c r="I56" s="136">
        <f>(G56+H56)*(1/((1+'SoCalGas Calculations'!$J$8)^$B56))</f>
        <v>0</v>
      </c>
      <c r="J56" s="150"/>
      <c r="K56" s="149"/>
      <c r="L56" s="136"/>
      <c r="M56" s="136">
        <f>(K56+L56)*(1/((1+'SoCalGas Calculations'!$J$8)^$B56))</f>
        <v>0</v>
      </c>
      <c r="N56" s="150"/>
      <c r="O56" s="149"/>
      <c r="P56" s="136"/>
      <c r="Q56" s="150">
        <f>(O56+P56)*(1/((1+'SoCalGas Calculations'!$J$8)^$B56))</f>
        <v>0</v>
      </c>
    </row>
    <row r="57" spans="1:17" ht="15.6" x14ac:dyDescent="0.3">
      <c r="A57" s="148">
        <v>54</v>
      </c>
      <c r="B57" s="63"/>
      <c r="C57" s="149"/>
      <c r="D57" s="136"/>
      <c r="E57" s="136">
        <f>(C57+D57)*(1/((1+'SoCalGas Calculations'!$J$8)^$B57))</f>
        <v>0</v>
      </c>
      <c r="F57" s="150"/>
      <c r="G57" s="149"/>
      <c r="H57" s="136"/>
      <c r="I57" s="136">
        <f>(G57+H57)*(1/((1+'SoCalGas Calculations'!$J$8)^$B57))</f>
        <v>0</v>
      </c>
      <c r="J57" s="150"/>
      <c r="K57" s="149"/>
      <c r="L57" s="136"/>
      <c r="M57" s="136">
        <f>(K57+L57)*(1/((1+'SoCalGas Calculations'!$J$8)^$B57))</f>
        <v>0</v>
      </c>
      <c r="N57" s="150"/>
      <c r="O57" s="149"/>
      <c r="P57" s="136"/>
      <c r="Q57" s="150">
        <f>(O57+P57)*(1/((1+'SoCalGas Calculations'!$J$8)^$B57))</f>
        <v>0</v>
      </c>
    </row>
    <row r="58" spans="1:17" ht="15.6" x14ac:dyDescent="0.3">
      <c r="A58" s="148">
        <v>55</v>
      </c>
      <c r="B58" s="63"/>
      <c r="C58" s="149"/>
      <c r="D58" s="136"/>
      <c r="E58" s="136">
        <f>(C58+D58)*(1/((1+'SoCalGas Calculations'!$J$8)^$B58))</f>
        <v>0</v>
      </c>
      <c r="F58" s="150"/>
      <c r="G58" s="149"/>
      <c r="H58" s="136"/>
      <c r="I58" s="136">
        <f>(G58+H58)*(1/((1+'SoCalGas Calculations'!$J$8)^$B58))</f>
        <v>0</v>
      </c>
      <c r="J58" s="150"/>
      <c r="K58" s="149"/>
      <c r="L58" s="136"/>
      <c r="M58" s="136">
        <f>(K58+L58)*(1/((1+'SoCalGas Calculations'!$J$8)^$B58))</f>
        <v>0</v>
      </c>
      <c r="N58" s="150"/>
      <c r="O58" s="149"/>
      <c r="P58" s="136"/>
      <c r="Q58" s="150">
        <f>(O58+P58)*(1/((1+'SoCalGas Calculations'!$J$8)^$B58))</f>
        <v>0</v>
      </c>
    </row>
    <row r="59" spans="1:17" ht="15.6" x14ac:dyDescent="0.3">
      <c r="A59" s="148">
        <v>56</v>
      </c>
      <c r="B59" s="63"/>
      <c r="C59" s="149"/>
      <c r="D59" s="136"/>
      <c r="E59" s="136">
        <f>(C59+D59)*(1/((1+'SoCalGas Calculations'!$J$8)^$B59))</f>
        <v>0</v>
      </c>
      <c r="F59" s="150"/>
      <c r="G59" s="149"/>
      <c r="H59" s="136"/>
      <c r="I59" s="136">
        <f>(G59+H59)*(1/((1+'SoCalGas Calculations'!$J$8)^$B59))</f>
        <v>0</v>
      </c>
      <c r="J59" s="150"/>
      <c r="K59" s="149"/>
      <c r="L59" s="136"/>
      <c r="M59" s="136">
        <f>(K59+L59)*(1/((1+'SoCalGas Calculations'!$J$8)^$B59))</f>
        <v>0</v>
      </c>
      <c r="N59" s="150"/>
      <c r="O59" s="149"/>
      <c r="P59" s="136"/>
      <c r="Q59" s="150">
        <f>(O59+P59)*(1/((1+'SoCalGas Calculations'!$J$8)^$B59))</f>
        <v>0</v>
      </c>
    </row>
    <row r="60" spans="1:17" ht="15.6" x14ac:dyDescent="0.3">
      <c r="A60" s="148">
        <v>57</v>
      </c>
      <c r="B60" s="63"/>
      <c r="C60" s="149"/>
      <c r="D60" s="136"/>
      <c r="E60" s="136">
        <f>(C60+D60)*(1/((1+'SoCalGas Calculations'!$J$8)^$B60))</f>
        <v>0</v>
      </c>
      <c r="F60" s="150"/>
      <c r="G60" s="149"/>
      <c r="H60" s="136"/>
      <c r="I60" s="136">
        <f>(G60+H60)*(1/((1+'SoCalGas Calculations'!$J$8)^$B60))</f>
        <v>0</v>
      </c>
      <c r="J60" s="150"/>
      <c r="K60" s="149"/>
      <c r="L60" s="136"/>
      <c r="M60" s="136">
        <f>(K60+L60)*(1/((1+'SoCalGas Calculations'!$J$8)^$B60))</f>
        <v>0</v>
      </c>
      <c r="N60" s="150"/>
      <c r="O60" s="149"/>
      <c r="P60" s="136"/>
      <c r="Q60" s="150">
        <f>(O60+P60)*(1/((1+'SoCalGas Calculations'!$J$8)^$B60))</f>
        <v>0</v>
      </c>
    </row>
    <row r="61" spans="1:17" ht="15.6" x14ac:dyDescent="0.3">
      <c r="A61" s="148">
        <v>58</v>
      </c>
      <c r="B61" s="63"/>
      <c r="C61" s="149"/>
      <c r="D61" s="136"/>
      <c r="E61" s="136">
        <f>(C61+D61)*(1/((1+'SoCalGas Calculations'!$J$8)^$B61))</f>
        <v>0</v>
      </c>
      <c r="F61" s="150"/>
      <c r="G61" s="149"/>
      <c r="H61" s="136"/>
      <c r="I61" s="136">
        <f>(G61+H61)*(1/((1+'SoCalGas Calculations'!$J$8)^$B61))</f>
        <v>0</v>
      </c>
      <c r="J61" s="150"/>
      <c r="K61" s="149"/>
      <c r="L61" s="136"/>
      <c r="M61" s="136">
        <f>(K61+L61)*(1/((1+'SoCalGas Calculations'!$J$8)^$B61))</f>
        <v>0</v>
      </c>
      <c r="N61" s="150"/>
      <c r="O61" s="149"/>
      <c r="P61" s="136"/>
      <c r="Q61" s="150">
        <f>(O61+P61)*(1/((1+'SoCalGas Calculations'!$J$8)^$B61))</f>
        <v>0</v>
      </c>
    </row>
    <row r="62" spans="1:17" ht="15.6" x14ac:dyDescent="0.3">
      <c r="A62" s="148">
        <v>59</v>
      </c>
      <c r="B62" s="63"/>
      <c r="C62" s="149"/>
      <c r="D62" s="136"/>
      <c r="E62" s="136">
        <f>(C62+D62)*(1/((1+'SoCalGas Calculations'!$J$8)^$B62))</f>
        <v>0</v>
      </c>
      <c r="F62" s="150"/>
      <c r="G62" s="149"/>
      <c r="H62" s="136"/>
      <c r="I62" s="136">
        <f>(G62+H62)*(1/((1+'SoCalGas Calculations'!$J$8)^$B62))</f>
        <v>0</v>
      </c>
      <c r="J62" s="150"/>
      <c r="K62" s="149"/>
      <c r="L62" s="136"/>
      <c r="M62" s="136">
        <f>(K62+L62)*(1/((1+'SoCalGas Calculations'!$J$8)^$B62))</f>
        <v>0</v>
      </c>
      <c r="N62" s="150"/>
      <c r="O62" s="149"/>
      <c r="P62" s="136"/>
      <c r="Q62" s="150">
        <f>(O62+P62)*(1/((1+'SoCalGas Calculations'!$J$8)^$B62))</f>
        <v>0</v>
      </c>
    </row>
    <row r="63" spans="1:17" ht="15.6" x14ac:dyDescent="0.3">
      <c r="A63" s="148">
        <v>60</v>
      </c>
      <c r="B63" s="63"/>
      <c r="C63" s="149"/>
      <c r="D63" s="136"/>
      <c r="E63" s="136">
        <f>(C63+D63)*(1/((1+'SoCalGas Calculations'!$J$8)^$B63))</f>
        <v>0</v>
      </c>
      <c r="F63" s="150"/>
      <c r="G63" s="149"/>
      <c r="H63" s="136"/>
      <c r="I63" s="136">
        <f>(G63+H63)*(1/((1+'SoCalGas Calculations'!$J$8)^$B63))</f>
        <v>0</v>
      </c>
      <c r="J63" s="150"/>
      <c r="K63" s="149"/>
      <c r="L63" s="136"/>
      <c r="M63" s="136">
        <f>(K63+L63)*(1/((1+'SoCalGas Calculations'!$J$8)^$B63))</f>
        <v>0</v>
      </c>
      <c r="N63" s="150"/>
      <c r="O63" s="149"/>
      <c r="P63" s="136"/>
      <c r="Q63" s="150">
        <f>(O63+P63)*(1/((1+'SoCalGas Calculations'!$J$8)^$B63))</f>
        <v>0</v>
      </c>
    </row>
    <row r="64" spans="1:17" ht="15.6" x14ac:dyDescent="0.3">
      <c r="A64" s="148">
        <v>61</v>
      </c>
      <c r="B64" s="63"/>
      <c r="C64" s="149"/>
      <c r="D64" s="136"/>
      <c r="E64" s="136">
        <f>(C64+D64)*(1/((1+'SoCalGas Calculations'!$J$8)^$B64))</f>
        <v>0</v>
      </c>
      <c r="F64" s="150"/>
      <c r="G64" s="149"/>
      <c r="H64" s="136"/>
      <c r="I64" s="136">
        <f>(G64+H64)*(1/((1+'SoCalGas Calculations'!$J$8)^$B64))</f>
        <v>0</v>
      </c>
      <c r="J64" s="150"/>
      <c r="K64" s="149"/>
      <c r="L64" s="136"/>
      <c r="M64" s="136">
        <f>(K64+L64)*(1/((1+'SoCalGas Calculations'!$J$8)^$B64))</f>
        <v>0</v>
      </c>
      <c r="N64" s="150"/>
      <c r="O64" s="149"/>
      <c r="P64" s="136"/>
      <c r="Q64" s="150">
        <f>(O64+P64)*(1/((1+'SoCalGas Calculations'!$J$8)^$B64))</f>
        <v>0</v>
      </c>
    </row>
    <row r="65" spans="1:17" ht="15.6" x14ac:dyDescent="0.3">
      <c r="A65" s="148">
        <v>62</v>
      </c>
      <c r="B65" s="63"/>
      <c r="C65" s="149"/>
      <c r="D65" s="136"/>
      <c r="E65" s="136">
        <f>(C65+D65)*(1/((1+'SoCalGas Calculations'!$J$8)^$B65))</f>
        <v>0</v>
      </c>
      <c r="F65" s="150"/>
      <c r="G65" s="149"/>
      <c r="H65" s="136"/>
      <c r="I65" s="136">
        <f>(G65+H65)*(1/((1+'SoCalGas Calculations'!$J$8)^$B65))</f>
        <v>0</v>
      </c>
      <c r="J65" s="150"/>
      <c r="K65" s="149"/>
      <c r="L65" s="136"/>
      <c r="M65" s="136">
        <f>(K65+L65)*(1/((1+'SoCalGas Calculations'!$J$8)^$B65))</f>
        <v>0</v>
      </c>
      <c r="N65" s="150"/>
      <c r="O65" s="149"/>
      <c r="P65" s="136"/>
      <c r="Q65" s="150">
        <f>(O65+P65)*(1/((1+'SoCalGas Calculations'!$J$8)^$B65))</f>
        <v>0</v>
      </c>
    </row>
    <row r="66" spans="1:17" ht="15.6" x14ac:dyDescent="0.3">
      <c r="A66" s="148">
        <v>63</v>
      </c>
      <c r="B66" s="63"/>
      <c r="C66" s="149"/>
      <c r="D66" s="136"/>
      <c r="E66" s="136">
        <f>(C66+D66)*(1/((1+'SoCalGas Calculations'!$J$8)^$B66))</f>
        <v>0</v>
      </c>
      <c r="F66" s="150"/>
      <c r="G66" s="149"/>
      <c r="H66" s="136"/>
      <c r="I66" s="136">
        <f>(G66+H66)*(1/((1+'SoCalGas Calculations'!$J$8)^$B66))</f>
        <v>0</v>
      </c>
      <c r="J66" s="150"/>
      <c r="K66" s="149"/>
      <c r="L66" s="136"/>
      <c r="M66" s="136">
        <f>(K66+L66)*(1/((1+'SoCalGas Calculations'!$J$8)^$B66))</f>
        <v>0</v>
      </c>
      <c r="N66" s="150"/>
      <c r="O66" s="149"/>
      <c r="P66" s="136"/>
      <c r="Q66" s="150">
        <f>(O66+P66)*(1/((1+'SoCalGas Calculations'!$J$8)^$B66))</f>
        <v>0</v>
      </c>
    </row>
    <row r="67" spans="1:17" ht="15.6" x14ac:dyDescent="0.3">
      <c r="A67" s="148">
        <v>64</v>
      </c>
      <c r="B67" s="63"/>
      <c r="C67" s="149"/>
      <c r="D67" s="136"/>
      <c r="E67" s="136">
        <f>(C67+D67)*(1/((1+'SoCalGas Calculations'!$J$8)^$B67))</f>
        <v>0</v>
      </c>
      <c r="F67" s="150"/>
      <c r="G67" s="149"/>
      <c r="H67" s="136"/>
      <c r="I67" s="136">
        <f>(G67+H67)*(1/((1+'SoCalGas Calculations'!$J$8)^$B67))</f>
        <v>0</v>
      </c>
      <c r="J67" s="150"/>
      <c r="K67" s="149"/>
      <c r="L67" s="136"/>
      <c r="M67" s="136">
        <f>(K67+L67)*(1/((1+'SoCalGas Calculations'!$J$8)^$B67))</f>
        <v>0</v>
      </c>
      <c r="N67" s="150"/>
      <c r="O67" s="149"/>
      <c r="P67" s="136"/>
      <c r="Q67" s="150">
        <f>(O67+P67)*(1/((1+'SoCalGas Calculations'!$J$8)^$B67))</f>
        <v>0</v>
      </c>
    </row>
    <row r="68" spans="1:17" ht="15.6" x14ac:dyDescent="0.3">
      <c r="A68" s="148">
        <v>65</v>
      </c>
      <c r="B68" s="63"/>
      <c r="C68" s="149"/>
      <c r="D68" s="136"/>
      <c r="E68" s="136">
        <f>(C68+D68)*(1/((1+'SoCalGas Calculations'!$J$8)^$B68))</f>
        <v>0</v>
      </c>
      <c r="F68" s="150"/>
      <c r="G68" s="149"/>
      <c r="H68" s="136"/>
      <c r="I68" s="136">
        <f>(G68+H68)*(1/((1+'SoCalGas Calculations'!$J$8)^$B68))</f>
        <v>0</v>
      </c>
      <c r="J68" s="150"/>
      <c r="K68" s="149"/>
      <c r="L68" s="136"/>
      <c r="M68" s="136">
        <f>(K68+L68)*(1/((1+'SoCalGas Calculations'!$J$8)^$B68))</f>
        <v>0</v>
      </c>
      <c r="N68" s="150"/>
      <c r="O68" s="149"/>
      <c r="P68" s="136"/>
      <c r="Q68" s="150">
        <f>(O68+P68)*(1/((1+'SoCalGas Calculations'!$J$8)^$B68))</f>
        <v>0</v>
      </c>
    </row>
    <row r="69" spans="1:17" ht="15.6" x14ac:dyDescent="0.3">
      <c r="A69" s="148">
        <v>66</v>
      </c>
      <c r="B69" s="63"/>
      <c r="C69" s="149"/>
      <c r="D69" s="136"/>
      <c r="E69" s="136">
        <f>(C69+D69)*(1/((1+'SoCalGas Calculations'!$J$8)^$B69))</f>
        <v>0</v>
      </c>
      <c r="F69" s="150"/>
      <c r="G69" s="149"/>
      <c r="H69" s="136"/>
      <c r="I69" s="136">
        <f>(G69+H69)*(1/((1+'SoCalGas Calculations'!$J$8)^$B69))</f>
        <v>0</v>
      </c>
      <c r="J69" s="150"/>
      <c r="K69" s="149"/>
      <c r="L69" s="136"/>
      <c r="M69" s="136">
        <f>(K69+L69)*(1/((1+'SoCalGas Calculations'!$J$8)^$B69))</f>
        <v>0</v>
      </c>
      <c r="N69" s="150"/>
      <c r="O69" s="149"/>
      <c r="P69" s="136"/>
      <c r="Q69" s="150">
        <f>(O69+P69)*(1/((1+'SoCalGas Calculations'!$J$8)^$B69))</f>
        <v>0</v>
      </c>
    </row>
    <row r="70" spans="1:17" ht="15.6" x14ac:dyDescent="0.3">
      <c r="A70" s="148">
        <v>67</v>
      </c>
      <c r="B70" s="63"/>
      <c r="C70" s="149"/>
      <c r="D70" s="136"/>
      <c r="E70" s="136">
        <f>(C70+D70)*(1/((1+'SoCalGas Calculations'!$J$8)^$B70))</f>
        <v>0</v>
      </c>
      <c r="F70" s="150"/>
      <c r="G70" s="149"/>
      <c r="H70" s="136"/>
      <c r="I70" s="136">
        <f>(G70+H70)*(1/((1+'SoCalGas Calculations'!$J$8)^$B70))</f>
        <v>0</v>
      </c>
      <c r="J70" s="150"/>
      <c r="K70" s="149"/>
      <c r="L70" s="136"/>
      <c r="M70" s="136">
        <f>(K70+L70)*(1/((1+'SoCalGas Calculations'!$J$8)^$B70))</f>
        <v>0</v>
      </c>
      <c r="N70" s="150"/>
      <c r="O70" s="149"/>
      <c r="P70" s="136"/>
      <c r="Q70" s="150">
        <f>(O70+P70)*(1/((1+'SoCalGas Calculations'!$J$8)^$B70))</f>
        <v>0</v>
      </c>
    </row>
    <row r="71" spans="1:17" ht="15.6" x14ac:dyDescent="0.3">
      <c r="A71" s="148">
        <v>68</v>
      </c>
      <c r="B71" s="63"/>
      <c r="C71" s="149"/>
      <c r="D71" s="136"/>
      <c r="E71" s="136">
        <f>(C71+D71)*(1/((1+'SoCalGas Calculations'!$J$8)^$B71))</f>
        <v>0</v>
      </c>
      <c r="F71" s="150"/>
      <c r="G71" s="149"/>
      <c r="H71" s="136"/>
      <c r="I71" s="136">
        <f>(G71+H71)*(1/((1+'SoCalGas Calculations'!$J$8)^$B71))</f>
        <v>0</v>
      </c>
      <c r="J71" s="150"/>
      <c r="K71" s="149"/>
      <c r="L71" s="136"/>
      <c r="M71" s="136">
        <f>(K71+L71)*(1/((1+'SoCalGas Calculations'!$J$8)^$B71))</f>
        <v>0</v>
      </c>
      <c r="N71" s="150"/>
      <c r="O71" s="149"/>
      <c r="P71" s="136"/>
      <c r="Q71" s="150">
        <f>(O71+P71)*(1/((1+'SoCalGas Calculations'!$J$8)^$B71))</f>
        <v>0</v>
      </c>
    </row>
    <row r="72" spans="1:17" ht="15.6" x14ac:dyDescent="0.3">
      <c r="A72" s="148">
        <v>69</v>
      </c>
      <c r="B72" s="63"/>
      <c r="C72" s="149"/>
      <c r="D72" s="136"/>
      <c r="E72" s="136">
        <f>(C72+D72)*(1/((1+'SoCalGas Calculations'!$J$8)^$B72))</f>
        <v>0</v>
      </c>
      <c r="F72" s="150"/>
      <c r="G72" s="149"/>
      <c r="H72" s="136"/>
      <c r="I72" s="136">
        <f>(G72+H72)*(1/((1+'SoCalGas Calculations'!$J$8)^$B72))</f>
        <v>0</v>
      </c>
      <c r="J72" s="150"/>
      <c r="K72" s="149"/>
      <c r="L72" s="136"/>
      <c r="M72" s="136">
        <f>(K72+L72)*(1/((1+'SoCalGas Calculations'!$J$8)^$B72))</f>
        <v>0</v>
      </c>
      <c r="N72" s="150"/>
      <c r="O72" s="149"/>
      <c r="P72" s="136"/>
      <c r="Q72" s="150">
        <f>(O72+P72)*(1/((1+'SoCalGas Calculations'!$J$8)^$B72))</f>
        <v>0</v>
      </c>
    </row>
    <row r="73" spans="1:17" ht="15.6" x14ac:dyDescent="0.3">
      <c r="A73" s="148">
        <v>70</v>
      </c>
      <c r="B73" s="63"/>
      <c r="C73" s="149"/>
      <c r="D73" s="136"/>
      <c r="E73" s="136">
        <f>(C73+D73)*(1/((1+'SoCalGas Calculations'!$J$8)^$B73))</f>
        <v>0</v>
      </c>
      <c r="F73" s="150"/>
      <c r="G73" s="149"/>
      <c r="H73" s="136"/>
      <c r="I73" s="136">
        <f>(G73+H73)*(1/((1+'SoCalGas Calculations'!$J$8)^$B73))</f>
        <v>0</v>
      </c>
      <c r="J73" s="150"/>
      <c r="K73" s="149"/>
      <c r="L73" s="136"/>
      <c r="M73" s="136">
        <f>(K73+L73)*(1/((1+'SoCalGas Calculations'!$J$8)^$B73))</f>
        <v>0</v>
      </c>
      <c r="N73" s="150"/>
      <c r="O73" s="149"/>
      <c r="P73" s="136"/>
      <c r="Q73" s="150">
        <f>(O73+P73)*(1/((1+'SoCalGas Calculations'!$J$8)^$B73))</f>
        <v>0</v>
      </c>
    </row>
    <row r="74" spans="1:17" ht="15.6" x14ac:dyDescent="0.3">
      <c r="A74" s="148">
        <v>71</v>
      </c>
      <c r="B74" s="63"/>
      <c r="C74" s="149"/>
      <c r="D74" s="136"/>
      <c r="E74" s="136">
        <f>(C74+D74)*(1/((1+'SoCalGas Calculations'!$J$8)^$B74))</f>
        <v>0</v>
      </c>
      <c r="F74" s="150"/>
      <c r="G74" s="149"/>
      <c r="H74" s="136"/>
      <c r="I74" s="136">
        <f>(G74+H74)*(1/((1+'SoCalGas Calculations'!$J$8)^$B74))</f>
        <v>0</v>
      </c>
      <c r="J74" s="150"/>
      <c r="K74" s="149"/>
      <c r="L74" s="136"/>
      <c r="M74" s="136">
        <f>(K74+L74)*(1/((1+'SoCalGas Calculations'!$J$8)^$B74))</f>
        <v>0</v>
      </c>
      <c r="N74" s="150"/>
      <c r="O74" s="149"/>
      <c r="P74" s="136"/>
      <c r="Q74" s="150">
        <f>(O74+P74)*(1/((1+'SoCalGas Calculations'!$J$8)^$B74))</f>
        <v>0</v>
      </c>
    </row>
    <row r="75" spans="1:17" ht="15.6" x14ac:dyDescent="0.3">
      <c r="A75" s="148">
        <v>72</v>
      </c>
      <c r="B75" s="63"/>
      <c r="C75" s="149"/>
      <c r="D75" s="136"/>
      <c r="E75" s="136">
        <f>(C75+D75)*(1/((1+'SoCalGas Calculations'!$J$8)^$B75))</f>
        <v>0</v>
      </c>
      <c r="F75" s="150"/>
      <c r="G75" s="149"/>
      <c r="H75" s="136"/>
      <c r="I75" s="136">
        <f>(G75+H75)*(1/((1+'SoCalGas Calculations'!$J$8)^$B75))</f>
        <v>0</v>
      </c>
      <c r="J75" s="150"/>
      <c r="K75" s="149"/>
      <c r="L75" s="136"/>
      <c r="M75" s="136">
        <f>(K75+L75)*(1/((1+'SoCalGas Calculations'!$J$8)^$B75))</f>
        <v>0</v>
      </c>
      <c r="N75" s="150"/>
      <c r="O75" s="149"/>
      <c r="P75" s="136"/>
      <c r="Q75" s="150">
        <f>(O75+P75)*(1/((1+'SoCalGas Calculations'!$J$8)^$B75))</f>
        <v>0</v>
      </c>
    </row>
    <row r="76" spans="1:17" ht="15.6" x14ac:dyDescent="0.3">
      <c r="A76" s="148">
        <v>73</v>
      </c>
      <c r="B76" s="63"/>
      <c r="C76" s="149"/>
      <c r="D76" s="136"/>
      <c r="E76" s="136">
        <f>(C76+D76)*(1/((1+'SoCalGas Calculations'!$J$8)^$B76))</f>
        <v>0</v>
      </c>
      <c r="F76" s="150"/>
      <c r="G76" s="149"/>
      <c r="H76" s="136"/>
      <c r="I76" s="136">
        <f>(G76+H76)*(1/((1+'SoCalGas Calculations'!$J$8)^$B76))</f>
        <v>0</v>
      </c>
      <c r="J76" s="150"/>
      <c r="K76" s="149"/>
      <c r="L76" s="136"/>
      <c r="M76" s="136">
        <f>(K76+L76)*(1/((1+'SoCalGas Calculations'!$J$8)^$B76))</f>
        <v>0</v>
      </c>
      <c r="N76" s="150"/>
      <c r="O76" s="149"/>
      <c r="P76" s="136"/>
      <c r="Q76" s="150">
        <f>(O76+P76)*(1/((1+'SoCalGas Calculations'!$J$8)^$B76))</f>
        <v>0</v>
      </c>
    </row>
    <row r="77" spans="1:17" ht="15.6" x14ac:dyDescent="0.3">
      <c r="A77" s="148">
        <v>74</v>
      </c>
      <c r="B77" s="63"/>
      <c r="C77" s="149"/>
      <c r="D77" s="136"/>
      <c r="E77" s="136">
        <f>(C77+D77)*(1/((1+'SoCalGas Calculations'!$J$8)^$B77))</f>
        <v>0</v>
      </c>
      <c r="F77" s="150"/>
      <c r="G77" s="149"/>
      <c r="H77" s="136"/>
      <c r="I77" s="136">
        <f>(G77+H77)*(1/((1+'SoCalGas Calculations'!$J$8)^$B77))</f>
        <v>0</v>
      </c>
      <c r="J77" s="150"/>
      <c r="K77" s="149"/>
      <c r="L77" s="136"/>
      <c r="M77" s="136">
        <f>(K77+L77)*(1/((1+'SoCalGas Calculations'!$J$8)^$B77))</f>
        <v>0</v>
      </c>
      <c r="N77" s="150"/>
      <c r="O77" s="149"/>
      <c r="P77" s="136"/>
      <c r="Q77" s="150">
        <f>(O77+P77)*(1/((1+'SoCalGas Calculations'!$J$8)^$B77))</f>
        <v>0</v>
      </c>
    </row>
    <row r="78" spans="1:17" ht="15.6" x14ac:dyDescent="0.3">
      <c r="A78" s="148">
        <v>75</v>
      </c>
      <c r="B78" s="63"/>
      <c r="C78" s="149"/>
      <c r="D78" s="136"/>
      <c r="E78" s="136">
        <f>(C78+D78)*(1/((1+'SoCalGas Calculations'!$J$8)^$B78))</f>
        <v>0</v>
      </c>
      <c r="F78" s="150"/>
      <c r="G78" s="149"/>
      <c r="H78" s="136"/>
      <c r="I78" s="136">
        <f>(G78+H78)*(1/((1+'SoCalGas Calculations'!$J$8)^$B78))</f>
        <v>0</v>
      </c>
      <c r="J78" s="150"/>
      <c r="K78" s="149"/>
      <c r="L78" s="136"/>
      <c r="M78" s="136">
        <f>(K78+L78)*(1/((1+'SoCalGas Calculations'!$J$8)^$B78))</f>
        <v>0</v>
      </c>
      <c r="N78" s="150"/>
      <c r="O78" s="149"/>
      <c r="P78" s="136"/>
      <c r="Q78" s="150">
        <f>(O78+P78)*(1/((1+'SoCalGas Calculations'!$J$8)^$B78))</f>
        <v>0</v>
      </c>
    </row>
    <row r="79" spans="1:17" ht="15.6" x14ac:dyDescent="0.3">
      <c r="A79" s="148">
        <v>76</v>
      </c>
      <c r="B79" s="63"/>
      <c r="C79" s="149"/>
      <c r="D79" s="136"/>
      <c r="E79" s="136">
        <f>(C79+D79)*(1/((1+'SoCalGas Calculations'!$J$8)^$B79))</f>
        <v>0</v>
      </c>
      <c r="F79" s="150"/>
      <c r="G79" s="149"/>
      <c r="H79" s="136"/>
      <c r="I79" s="136">
        <f>(G79+H79)*(1/((1+'SoCalGas Calculations'!$J$8)^$B79))</f>
        <v>0</v>
      </c>
      <c r="J79" s="150"/>
      <c r="K79" s="149"/>
      <c r="L79" s="136"/>
      <c r="M79" s="136">
        <f>(K79+L79)*(1/((1+'SoCalGas Calculations'!$J$8)^$B79))</f>
        <v>0</v>
      </c>
      <c r="N79" s="150"/>
      <c r="O79" s="149"/>
      <c r="P79" s="136"/>
      <c r="Q79" s="150">
        <f>(O79+P79)*(1/((1+'SoCalGas Calculations'!$J$8)^$B79))</f>
        <v>0</v>
      </c>
    </row>
    <row r="80" spans="1:17" ht="15.6" x14ac:dyDescent="0.3">
      <c r="A80" s="148">
        <v>77</v>
      </c>
      <c r="B80" s="63"/>
      <c r="C80" s="149"/>
      <c r="D80" s="136"/>
      <c r="E80" s="136">
        <f>(C80+D80)*(1/((1+'SoCalGas Calculations'!$J$8)^$B80))</f>
        <v>0</v>
      </c>
      <c r="F80" s="150"/>
      <c r="G80" s="149"/>
      <c r="H80" s="136"/>
      <c r="I80" s="136">
        <f>(G80+H80)*(1/((1+'SoCalGas Calculations'!$J$8)^$B80))</f>
        <v>0</v>
      </c>
      <c r="J80" s="150"/>
      <c r="K80" s="149"/>
      <c r="L80" s="136"/>
      <c r="M80" s="136">
        <f>(K80+L80)*(1/((1+'SoCalGas Calculations'!$J$8)^$B80))</f>
        <v>0</v>
      </c>
      <c r="N80" s="150"/>
      <c r="O80" s="149"/>
      <c r="P80" s="136"/>
      <c r="Q80" s="150">
        <f>(O80+P80)*(1/((1+'SoCalGas Calculations'!$J$8)^$B80))</f>
        <v>0</v>
      </c>
    </row>
    <row r="81" spans="1:17" ht="15.6" x14ac:dyDescent="0.3">
      <c r="A81" s="148">
        <v>78</v>
      </c>
      <c r="B81" s="63"/>
      <c r="C81" s="149"/>
      <c r="D81" s="136"/>
      <c r="E81" s="136">
        <f>(C81+D81)*(1/((1+'SoCalGas Calculations'!$J$8)^$B81))</f>
        <v>0</v>
      </c>
      <c r="F81" s="150"/>
      <c r="G81" s="149"/>
      <c r="H81" s="136"/>
      <c r="I81" s="136">
        <f>(G81+H81)*(1/((1+'SoCalGas Calculations'!$J$8)^$B81))</f>
        <v>0</v>
      </c>
      <c r="J81" s="150"/>
      <c r="K81" s="149"/>
      <c r="L81" s="136"/>
      <c r="M81" s="136">
        <f>(K81+L81)*(1/((1+'SoCalGas Calculations'!$J$8)^$B81))</f>
        <v>0</v>
      </c>
      <c r="N81" s="150"/>
      <c r="O81" s="149"/>
      <c r="P81" s="136"/>
      <c r="Q81" s="150">
        <f>(O81+P81)*(1/((1+'SoCalGas Calculations'!$J$8)^$B81))</f>
        <v>0</v>
      </c>
    </row>
    <row r="82" spans="1:17" ht="15.6" x14ac:dyDescent="0.3">
      <c r="A82" s="148">
        <v>79</v>
      </c>
      <c r="B82" s="63"/>
      <c r="C82" s="149"/>
      <c r="D82" s="136"/>
      <c r="E82" s="136">
        <f>(C82+D82)*(1/((1+'SoCalGas Calculations'!$J$8)^$B82))</f>
        <v>0</v>
      </c>
      <c r="F82" s="150"/>
      <c r="G82" s="149"/>
      <c r="H82" s="136"/>
      <c r="I82" s="136">
        <f>(G82+H82)*(1/((1+'SoCalGas Calculations'!$J$8)^$B82))</f>
        <v>0</v>
      </c>
      <c r="J82" s="150"/>
      <c r="K82" s="149"/>
      <c r="L82" s="136"/>
      <c r="M82" s="136">
        <f>(K82+L82)*(1/((1+'SoCalGas Calculations'!$J$8)^$B82))</f>
        <v>0</v>
      </c>
      <c r="N82" s="150"/>
      <c r="O82" s="149"/>
      <c r="P82" s="136"/>
      <c r="Q82" s="150">
        <f>(O82+P82)*(1/((1+'SoCalGas Calculations'!$J$8)^$B82))</f>
        <v>0</v>
      </c>
    </row>
    <row r="83" spans="1:17" ht="15.6" x14ac:dyDescent="0.3">
      <c r="A83" s="148">
        <v>80</v>
      </c>
      <c r="B83" s="63"/>
      <c r="C83" s="149"/>
      <c r="D83" s="136"/>
      <c r="E83" s="136">
        <f>(C83+D83)*(1/((1+'SoCalGas Calculations'!$J$8)^$B83))</f>
        <v>0</v>
      </c>
      <c r="F83" s="150"/>
      <c r="G83" s="149"/>
      <c r="H83" s="136"/>
      <c r="I83" s="136">
        <f>(G83+H83)*(1/((1+'SoCalGas Calculations'!$J$8)^$B83))</f>
        <v>0</v>
      </c>
      <c r="J83" s="150"/>
      <c r="K83" s="149"/>
      <c r="L83" s="136"/>
      <c r="M83" s="136">
        <f>(K83+L83)*(1/((1+'SoCalGas Calculations'!$J$8)^$B83))</f>
        <v>0</v>
      </c>
      <c r="N83" s="150"/>
      <c r="O83" s="149"/>
      <c r="P83" s="136"/>
      <c r="Q83" s="150">
        <f>(O83+P83)*(1/((1+'SoCalGas Calculations'!$J$8)^$B83))</f>
        <v>0</v>
      </c>
    </row>
    <row r="84" spans="1:17" ht="15.6" x14ac:dyDescent="0.3">
      <c r="A84" s="148">
        <v>81</v>
      </c>
      <c r="B84" s="63"/>
      <c r="C84" s="149"/>
      <c r="D84" s="136"/>
      <c r="E84" s="136">
        <f>(C84+D84)*(1/((1+'SoCalGas Calculations'!$J$8)^$B84))</f>
        <v>0</v>
      </c>
      <c r="F84" s="150"/>
      <c r="G84" s="149"/>
      <c r="H84" s="136"/>
      <c r="I84" s="136">
        <f>(G84+H84)*(1/((1+'SoCalGas Calculations'!$J$8)^$B84))</f>
        <v>0</v>
      </c>
      <c r="J84" s="150"/>
      <c r="K84" s="149"/>
      <c r="L84" s="136"/>
      <c r="M84" s="136">
        <f>(K84+L84)*(1/((1+'SoCalGas Calculations'!$J$8)^$B84))</f>
        <v>0</v>
      </c>
      <c r="N84" s="150"/>
      <c r="O84" s="149"/>
      <c r="P84" s="136"/>
      <c r="Q84" s="150">
        <f>(O84+P84)*(1/((1+'SoCalGas Calculations'!$J$8)^$B84))</f>
        <v>0</v>
      </c>
    </row>
    <row r="85" spans="1:17" ht="15.6" x14ac:dyDescent="0.3">
      <c r="A85" s="148">
        <v>82</v>
      </c>
      <c r="B85" s="63"/>
      <c r="C85" s="149"/>
      <c r="D85" s="136"/>
      <c r="E85" s="136">
        <f>(C85+D85)*(1/((1+'SoCalGas Calculations'!$J$8)^$B85))</f>
        <v>0</v>
      </c>
      <c r="F85" s="150"/>
      <c r="G85" s="149"/>
      <c r="H85" s="136"/>
      <c r="I85" s="136">
        <f>(G85+H85)*(1/((1+'SoCalGas Calculations'!$J$8)^$B85))</f>
        <v>0</v>
      </c>
      <c r="J85" s="150"/>
      <c r="K85" s="149"/>
      <c r="L85" s="136"/>
      <c r="M85" s="136">
        <f>(K85+L85)*(1/((1+'SoCalGas Calculations'!$J$8)^$B85))</f>
        <v>0</v>
      </c>
      <c r="N85" s="150"/>
      <c r="O85" s="149"/>
      <c r="P85" s="136"/>
      <c r="Q85" s="150">
        <f>(O85+P85)*(1/((1+'SoCalGas Calculations'!$J$8)^$B85))</f>
        <v>0</v>
      </c>
    </row>
    <row r="86" spans="1:17" ht="15.6" x14ac:dyDescent="0.3">
      <c r="A86" s="148">
        <v>83</v>
      </c>
      <c r="B86" s="63"/>
      <c r="C86" s="149"/>
      <c r="D86" s="136"/>
      <c r="E86" s="136">
        <f>(C86+D86)*(1/((1+'SoCalGas Calculations'!$J$8)^$B86))</f>
        <v>0</v>
      </c>
      <c r="F86" s="150"/>
      <c r="G86" s="149"/>
      <c r="H86" s="136"/>
      <c r="I86" s="136">
        <f>(G86+H86)*(1/((1+'SoCalGas Calculations'!$J$8)^$B86))</f>
        <v>0</v>
      </c>
      <c r="J86" s="150"/>
      <c r="K86" s="149"/>
      <c r="L86" s="136"/>
      <c r="M86" s="136">
        <f>(K86+L86)*(1/((1+'SoCalGas Calculations'!$J$8)^$B86))</f>
        <v>0</v>
      </c>
      <c r="N86" s="150"/>
      <c r="O86" s="149"/>
      <c r="P86" s="136"/>
      <c r="Q86" s="150">
        <f>(O86+P86)*(1/((1+'SoCalGas Calculations'!$J$8)^$B86))</f>
        <v>0</v>
      </c>
    </row>
    <row r="87" spans="1:17" ht="15.6" x14ac:dyDescent="0.3">
      <c r="A87" s="148">
        <v>84</v>
      </c>
      <c r="B87" s="63"/>
      <c r="C87" s="149"/>
      <c r="D87" s="136"/>
      <c r="E87" s="136">
        <f>(C87+D87)*(1/((1+'SoCalGas Calculations'!$J$8)^$B87))</f>
        <v>0</v>
      </c>
      <c r="F87" s="150"/>
      <c r="G87" s="149"/>
      <c r="H87" s="136"/>
      <c r="I87" s="136">
        <f>(G87+H87)*(1/((1+'SoCalGas Calculations'!$J$8)^$B87))</f>
        <v>0</v>
      </c>
      <c r="J87" s="150"/>
      <c r="K87" s="149"/>
      <c r="L87" s="136"/>
      <c r="M87" s="136">
        <f>(K87+L87)*(1/((1+'SoCalGas Calculations'!$J$8)^$B87))</f>
        <v>0</v>
      </c>
      <c r="N87" s="150"/>
      <c r="O87" s="149"/>
      <c r="P87" s="136"/>
      <c r="Q87" s="150">
        <f>(O87+P87)*(1/((1+'SoCalGas Calculations'!$J$8)^$B87))</f>
        <v>0</v>
      </c>
    </row>
    <row r="88" spans="1:17" ht="15.6" x14ac:dyDescent="0.3">
      <c r="A88" s="148">
        <v>85</v>
      </c>
      <c r="B88" s="63"/>
      <c r="C88" s="149"/>
      <c r="D88" s="136"/>
      <c r="E88" s="136">
        <f>(C88+D88)*(1/((1+'SoCalGas Calculations'!$J$8)^$B88))</f>
        <v>0</v>
      </c>
      <c r="F88" s="150"/>
      <c r="G88" s="149"/>
      <c r="H88" s="136"/>
      <c r="I88" s="136">
        <f>(G88+H88)*(1/((1+'SoCalGas Calculations'!$J$8)^$B88))</f>
        <v>0</v>
      </c>
      <c r="J88" s="150"/>
      <c r="K88" s="149"/>
      <c r="L88" s="136"/>
      <c r="M88" s="136">
        <f>(K88+L88)*(1/((1+'SoCalGas Calculations'!$J$8)^$B88))</f>
        <v>0</v>
      </c>
      <c r="N88" s="150"/>
      <c r="O88" s="149"/>
      <c r="P88" s="136"/>
      <c r="Q88" s="150">
        <f>(O88+P88)*(1/((1+'SoCalGas Calculations'!$J$8)^$B88))</f>
        <v>0</v>
      </c>
    </row>
    <row r="89" spans="1:17" ht="15.6" x14ac:dyDescent="0.3">
      <c r="A89" s="148">
        <v>86</v>
      </c>
      <c r="B89" s="63"/>
      <c r="C89" s="149"/>
      <c r="D89" s="136"/>
      <c r="E89" s="136">
        <f>(C89+D89)*(1/((1+'SoCalGas Calculations'!$J$8)^$B89))</f>
        <v>0</v>
      </c>
      <c r="F89" s="150"/>
      <c r="G89" s="149"/>
      <c r="H89" s="136"/>
      <c r="I89" s="136">
        <f>(G89+H89)*(1/((1+'SoCalGas Calculations'!$J$8)^$B89))</f>
        <v>0</v>
      </c>
      <c r="J89" s="150"/>
      <c r="K89" s="149"/>
      <c r="L89" s="136"/>
      <c r="M89" s="136">
        <f>(K89+L89)*(1/((1+'SoCalGas Calculations'!$J$8)^$B89))</f>
        <v>0</v>
      </c>
      <c r="N89" s="150"/>
      <c r="O89" s="149"/>
      <c r="P89" s="136"/>
      <c r="Q89" s="150">
        <f>(O89+P89)*(1/((1+'SoCalGas Calculations'!$J$8)^$B89))</f>
        <v>0</v>
      </c>
    </row>
    <row r="90" spans="1:17" ht="15.6" x14ac:dyDescent="0.3">
      <c r="A90" s="148">
        <v>87</v>
      </c>
      <c r="B90" s="63"/>
      <c r="C90" s="149"/>
      <c r="D90" s="136"/>
      <c r="E90" s="136">
        <f>(C90+D90)*(1/((1+'SoCalGas Calculations'!$J$8)^$B90))</f>
        <v>0</v>
      </c>
      <c r="F90" s="150"/>
      <c r="G90" s="149"/>
      <c r="H90" s="136"/>
      <c r="I90" s="136">
        <f>(G90+H90)*(1/((1+'SoCalGas Calculations'!$J$8)^$B90))</f>
        <v>0</v>
      </c>
      <c r="J90" s="150"/>
      <c r="K90" s="149"/>
      <c r="L90" s="136"/>
      <c r="M90" s="136">
        <f>(K90+L90)*(1/((1+'SoCalGas Calculations'!$J$8)^$B90))</f>
        <v>0</v>
      </c>
      <c r="N90" s="150"/>
      <c r="O90" s="149"/>
      <c r="P90" s="136"/>
      <c r="Q90" s="150">
        <f>(O90+P90)*(1/((1+'SoCalGas Calculations'!$J$8)^$B90))</f>
        <v>0</v>
      </c>
    </row>
    <row r="91" spans="1:17" ht="15.6" x14ac:dyDescent="0.3">
      <c r="A91" s="148">
        <v>88</v>
      </c>
      <c r="B91" s="63"/>
      <c r="C91" s="149"/>
      <c r="D91" s="136"/>
      <c r="E91" s="136">
        <f>(C91+D91)*(1/((1+'SoCalGas Calculations'!$J$8)^$B91))</f>
        <v>0</v>
      </c>
      <c r="F91" s="150"/>
      <c r="G91" s="149"/>
      <c r="H91" s="136"/>
      <c r="I91" s="136">
        <f>(G91+H91)*(1/((1+'SoCalGas Calculations'!$J$8)^$B91))</f>
        <v>0</v>
      </c>
      <c r="J91" s="150"/>
      <c r="K91" s="149"/>
      <c r="L91" s="136"/>
      <c r="M91" s="136">
        <f>(K91+L91)*(1/((1+'SoCalGas Calculations'!$J$8)^$B91))</f>
        <v>0</v>
      </c>
      <c r="N91" s="150"/>
      <c r="O91" s="149"/>
      <c r="P91" s="136"/>
      <c r="Q91" s="150">
        <f>(O91+P91)*(1/((1+'SoCalGas Calculations'!$J$8)^$B91))</f>
        <v>0</v>
      </c>
    </row>
    <row r="92" spans="1:17" ht="15.6" x14ac:dyDescent="0.3">
      <c r="A92" s="148">
        <v>89</v>
      </c>
      <c r="B92" s="63"/>
      <c r="C92" s="149"/>
      <c r="D92" s="136"/>
      <c r="E92" s="136">
        <f>(C92+D92)*(1/((1+'SoCalGas Calculations'!$J$8)^$B92))</f>
        <v>0</v>
      </c>
      <c r="F92" s="150"/>
      <c r="G92" s="149"/>
      <c r="H92" s="136"/>
      <c r="I92" s="136">
        <f>(G92+H92)*(1/((1+'SoCalGas Calculations'!$J$8)^$B92))</f>
        <v>0</v>
      </c>
      <c r="J92" s="150"/>
      <c r="K92" s="149"/>
      <c r="L92" s="136"/>
      <c r="M92" s="136">
        <f>(K92+L92)*(1/((1+'SoCalGas Calculations'!$J$8)^$B92))</f>
        <v>0</v>
      </c>
      <c r="N92" s="150"/>
      <c r="O92" s="149"/>
      <c r="P92" s="136"/>
      <c r="Q92" s="150">
        <f>(O92+P92)*(1/((1+'SoCalGas Calculations'!$J$8)^$B92))</f>
        <v>0</v>
      </c>
    </row>
    <row r="93" spans="1:17" ht="15.6" x14ac:dyDescent="0.3">
      <c r="A93" s="148">
        <v>90</v>
      </c>
      <c r="B93" s="63"/>
      <c r="C93" s="149"/>
      <c r="D93" s="136"/>
      <c r="E93" s="136">
        <f>(C93+D93)*(1/((1+'SoCalGas Calculations'!$J$8)^$B93))</f>
        <v>0</v>
      </c>
      <c r="F93" s="150"/>
      <c r="G93" s="149"/>
      <c r="H93" s="136"/>
      <c r="I93" s="136">
        <f>(G93+H93)*(1/((1+'SoCalGas Calculations'!$J$8)^$B93))</f>
        <v>0</v>
      </c>
      <c r="J93" s="150"/>
      <c r="K93" s="149"/>
      <c r="L93" s="136"/>
      <c r="M93" s="136">
        <f>(K93+L93)*(1/((1+'SoCalGas Calculations'!$J$8)^$B93))</f>
        <v>0</v>
      </c>
      <c r="N93" s="150"/>
      <c r="O93" s="149"/>
      <c r="P93" s="136"/>
      <c r="Q93" s="150">
        <f>(O93+P93)*(1/((1+'SoCalGas Calculations'!$J$8)^$B93))</f>
        <v>0</v>
      </c>
    </row>
    <row r="94" spans="1:17" ht="15.6" x14ac:dyDescent="0.3">
      <c r="A94" s="148">
        <v>91</v>
      </c>
      <c r="B94" s="63"/>
      <c r="C94" s="149"/>
      <c r="D94" s="136"/>
      <c r="E94" s="136">
        <f>(C94+D94)*(1/((1+'SoCalGas Calculations'!$J$8)^$B94))</f>
        <v>0</v>
      </c>
      <c r="F94" s="150"/>
      <c r="G94" s="149"/>
      <c r="H94" s="136"/>
      <c r="I94" s="136">
        <f>(G94+H94)*(1/((1+'SoCalGas Calculations'!$J$8)^$B94))</f>
        <v>0</v>
      </c>
      <c r="J94" s="150"/>
      <c r="K94" s="149"/>
      <c r="L94" s="136"/>
      <c r="M94" s="136">
        <f>(K94+L94)*(1/((1+'SoCalGas Calculations'!$J$8)^$B94))</f>
        <v>0</v>
      </c>
      <c r="N94" s="150"/>
      <c r="O94" s="149"/>
      <c r="P94" s="136"/>
      <c r="Q94" s="150">
        <f>(O94+P94)*(1/((1+'SoCalGas Calculations'!$J$8)^$B94))</f>
        <v>0</v>
      </c>
    </row>
    <row r="95" spans="1:17" ht="15.6" x14ac:dyDescent="0.3">
      <c r="A95" s="148">
        <v>92</v>
      </c>
      <c r="B95" s="63"/>
      <c r="C95" s="149"/>
      <c r="D95" s="136"/>
      <c r="E95" s="136">
        <f>(C95+D95)*(1/((1+'SoCalGas Calculations'!$J$8)^$B95))</f>
        <v>0</v>
      </c>
      <c r="F95" s="150"/>
      <c r="G95" s="149"/>
      <c r="H95" s="136"/>
      <c r="I95" s="136">
        <f>(G95+H95)*(1/((1+'SoCalGas Calculations'!$J$8)^$B95))</f>
        <v>0</v>
      </c>
      <c r="J95" s="150"/>
      <c r="K95" s="149"/>
      <c r="L95" s="136"/>
      <c r="M95" s="136">
        <f>(K95+L95)*(1/((1+'SoCalGas Calculations'!$J$8)^$B95))</f>
        <v>0</v>
      </c>
      <c r="N95" s="150"/>
      <c r="O95" s="149"/>
      <c r="P95" s="136"/>
      <c r="Q95" s="150">
        <f>(O95+P95)*(1/((1+'SoCalGas Calculations'!$J$8)^$B95))</f>
        <v>0</v>
      </c>
    </row>
    <row r="96" spans="1:17" ht="15.6" x14ac:dyDescent="0.3">
      <c r="A96" s="148">
        <v>93</v>
      </c>
      <c r="B96" s="63"/>
      <c r="C96" s="149"/>
      <c r="D96" s="136"/>
      <c r="E96" s="136">
        <f>(C96+D96)*(1/((1+'SoCalGas Calculations'!$J$8)^$B96))</f>
        <v>0</v>
      </c>
      <c r="F96" s="150"/>
      <c r="G96" s="149"/>
      <c r="H96" s="136"/>
      <c r="I96" s="136">
        <f>(G96+H96)*(1/((1+'SoCalGas Calculations'!$J$8)^$B96))</f>
        <v>0</v>
      </c>
      <c r="J96" s="150"/>
      <c r="K96" s="149"/>
      <c r="L96" s="136"/>
      <c r="M96" s="136">
        <f>(K96+L96)*(1/((1+'SoCalGas Calculations'!$J$8)^$B96))</f>
        <v>0</v>
      </c>
      <c r="N96" s="150"/>
      <c r="O96" s="149"/>
      <c r="P96" s="136"/>
      <c r="Q96" s="150">
        <f>(O96+P96)*(1/((1+'SoCalGas Calculations'!$J$8)^$B96))</f>
        <v>0</v>
      </c>
    </row>
    <row r="97" spans="1:17" ht="15.6" x14ac:dyDescent="0.3">
      <c r="A97" s="148">
        <v>94</v>
      </c>
      <c r="B97" s="63"/>
      <c r="C97" s="149"/>
      <c r="D97" s="136"/>
      <c r="E97" s="136">
        <f>(C97+D97)*(1/((1+'SoCalGas Calculations'!$J$8)^$B97))</f>
        <v>0</v>
      </c>
      <c r="F97" s="150"/>
      <c r="G97" s="149"/>
      <c r="H97" s="136"/>
      <c r="I97" s="136">
        <f>(G97+H97)*(1/((1+'SoCalGas Calculations'!$J$8)^$B97))</f>
        <v>0</v>
      </c>
      <c r="J97" s="150"/>
      <c r="K97" s="149"/>
      <c r="L97" s="136"/>
      <c r="M97" s="136">
        <f>(K97+L97)*(1/((1+'SoCalGas Calculations'!$J$8)^$B97))</f>
        <v>0</v>
      </c>
      <c r="N97" s="150"/>
      <c r="O97" s="149"/>
      <c r="P97" s="136"/>
      <c r="Q97" s="150">
        <f>(O97+P97)*(1/((1+'SoCalGas Calculations'!$J$8)^$B97))</f>
        <v>0</v>
      </c>
    </row>
    <row r="98" spans="1:17" ht="15.6" x14ac:dyDescent="0.3">
      <c r="A98" s="148">
        <v>95</v>
      </c>
      <c r="B98" s="63"/>
      <c r="C98" s="149"/>
      <c r="D98" s="136"/>
      <c r="E98" s="136">
        <f>(C98+D98)*(1/((1+'SoCalGas Calculations'!$J$8)^$B98))</f>
        <v>0</v>
      </c>
      <c r="F98" s="150"/>
      <c r="G98" s="149"/>
      <c r="H98" s="136"/>
      <c r="I98" s="136">
        <f>(G98+H98)*(1/((1+'SoCalGas Calculations'!$J$8)^$B98))</f>
        <v>0</v>
      </c>
      <c r="J98" s="150"/>
      <c r="K98" s="149"/>
      <c r="L98" s="136"/>
      <c r="M98" s="136">
        <f>(K98+L98)*(1/((1+'SoCalGas Calculations'!$J$8)^$B98))</f>
        <v>0</v>
      </c>
      <c r="N98" s="150"/>
      <c r="O98" s="149"/>
      <c r="P98" s="136"/>
      <c r="Q98" s="150">
        <f>(O98+P98)*(1/((1+'SoCalGas Calculations'!$J$8)^$B98))</f>
        <v>0</v>
      </c>
    </row>
    <row r="99" spans="1:17" ht="15.6" x14ac:dyDescent="0.3">
      <c r="A99" s="148">
        <v>96</v>
      </c>
      <c r="B99" s="63"/>
      <c r="C99" s="149"/>
      <c r="D99" s="136"/>
      <c r="E99" s="136">
        <f>(C99+D99)*(1/((1+'SoCalGas Calculations'!$J$8)^$B99))</f>
        <v>0</v>
      </c>
      <c r="F99" s="150"/>
      <c r="G99" s="149"/>
      <c r="H99" s="136"/>
      <c r="I99" s="136">
        <f>(G99+H99)*(1/((1+'SoCalGas Calculations'!$J$8)^$B99))</f>
        <v>0</v>
      </c>
      <c r="J99" s="150"/>
      <c r="K99" s="149"/>
      <c r="L99" s="136"/>
      <c r="M99" s="136">
        <f>(K99+L99)*(1/((1+'SoCalGas Calculations'!$J$8)^$B99))</f>
        <v>0</v>
      </c>
      <c r="N99" s="150"/>
      <c r="O99" s="149"/>
      <c r="P99" s="136"/>
      <c r="Q99" s="150">
        <f>(O99+P99)*(1/((1+'SoCalGas Calculations'!$J$8)^$B99))</f>
        <v>0</v>
      </c>
    </row>
    <row r="100" spans="1:17" ht="15.6" x14ac:dyDescent="0.3">
      <c r="A100" s="148">
        <v>97</v>
      </c>
      <c r="B100" s="63"/>
      <c r="C100" s="149"/>
      <c r="D100" s="136"/>
      <c r="E100" s="136">
        <f>(C100+D100)*(1/((1+'SoCalGas Calculations'!$J$8)^$B100))</f>
        <v>0</v>
      </c>
      <c r="F100" s="150"/>
      <c r="G100" s="149"/>
      <c r="H100" s="136"/>
      <c r="I100" s="136">
        <f>(G100+H100)*(1/((1+'SoCalGas Calculations'!$J$8)^$B100))</f>
        <v>0</v>
      </c>
      <c r="J100" s="150"/>
      <c r="K100" s="149"/>
      <c r="L100" s="136"/>
      <c r="M100" s="136">
        <f>(K100+L100)*(1/((1+'SoCalGas Calculations'!$J$8)^$B100))</f>
        <v>0</v>
      </c>
      <c r="N100" s="150"/>
      <c r="O100" s="149"/>
      <c r="P100" s="136"/>
      <c r="Q100" s="150">
        <f>(O100+P100)*(1/((1+'SoCalGas Calculations'!$J$8)^$B100))</f>
        <v>0</v>
      </c>
    </row>
    <row r="101" spans="1:17" ht="15.6" x14ac:dyDescent="0.3">
      <c r="A101" s="148">
        <v>98</v>
      </c>
      <c r="B101" s="63"/>
      <c r="C101" s="149"/>
      <c r="D101" s="136"/>
      <c r="E101" s="136">
        <f>(C101+D101)*(1/((1+'SoCalGas Calculations'!$J$8)^$B101))</f>
        <v>0</v>
      </c>
      <c r="F101" s="150"/>
      <c r="G101" s="149"/>
      <c r="H101" s="136"/>
      <c r="I101" s="136">
        <f>(G101+H101)*(1/((1+'SoCalGas Calculations'!$J$8)^$B101))</f>
        <v>0</v>
      </c>
      <c r="J101" s="150"/>
      <c r="K101" s="149"/>
      <c r="L101" s="136"/>
      <c r="M101" s="136">
        <f>(K101+L101)*(1/((1+'SoCalGas Calculations'!$J$8)^$B101))</f>
        <v>0</v>
      </c>
      <c r="N101" s="150"/>
      <c r="O101" s="149"/>
      <c r="P101" s="136"/>
      <c r="Q101" s="150">
        <f>(O101+P101)*(1/((1+'SoCalGas Calculations'!$J$8)^$B101))</f>
        <v>0</v>
      </c>
    </row>
    <row r="102" spans="1:17" ht="15.6" x14ac:dyDescent="0.3">
      <c r="A102" s="148">
        <v>99</v>
      </c>
      <c r="B102" s="63"/>
      <c r="C102" s="149"/>
      <c r="D102" s="136"/>
      <c r="E102" s="136">
        <f>(C102+D102)*(1/((1+'SoCalGas Calculations'!$J$8)^$B102))</f>
        <v>0</v>
      </c>
      <c r="F102" s="150"/>
      <c r="G102" s="149"/>
      <c r="H102" s="136"/>
      <c r="I102" s="136">
        <f>(G102+H102)*(1/((1+'SoCalGas Calculations'!$J$8)^$B102))</f>
        <v>0</v>
      </c>
      <c r="J102" s="150"/>
      <c r="K102" s="149"/>
      <c r="L102" s="136"/>
      <c r="M102" s="136">
        <f>(K102+L102)*(1/((1+'SoCalGas Calculations'!$J$8)^$B102))</f>
        <v>0</v>
      </c>
      <c r="N102" s="150"/>
      <c r="O102" s="149"/>
      <c r="P102" s="136"/>
      <c r="Q102" s="150">
        <f>(O102+P102)*(1/((1+'SoCalGas Calculations'!$J$8)^$B102))</f>
        <v>0</v>
      </c>
    </row>
    <row r="103" spans="1:17" ht="16.2" thickBot="1" x14ac:dyDescent="0.35">
      <c r="A103" s="153">
        <v>100</v>
      </c>
      <c r="B103" s="7"/>
      <c r="C103" s="151"/>
      <c r="D103" s="152"/>
      <c r="E103" s="152">
        <f>(C103+D103)*(1/((1+'SoCalGas Calculations'!$J$8)^$B103))</f>
        <v>0</v>
      </c>
      <c r="F103" s="85"/>
      <c r="G103" s="151"/>
      <c r="H103" s="152"/>
      <c r="I103" s="152">
        <f>(G103+H103)*(1/((1+'SoCalGas Calculations'!$J$8)^$B103))</f>
        <v>0</v>
      </c>
      <c r="J103" s="85"/>
      <c r="K103" s="151"/>
      <c r="L103" s="152"/>
      <c r="M103" s="152">
        <f>(K103+L103)*(1/((1+'SoCalGas Calculations'!$J$8)^$B103))</f>
        <v>0</v>
      </c>
      <c r="N103" s="85"/>
      <c r="O103" s="151"/>
      <c r="P103" s="152"/>
      <c r="Q103" s="85">
        <f>(O103+P103)*(1/((1+'SoCalGas Calculations'!$J$8)^$B103))</f>
        <v>0</v>
      </c>
    </row>
  </sheetData>
  <mergeCells count="4">
    <mergeCell ref="C1:F1"/>
    <mergeCell ref="G1:J1"/>
    <mergeCell ref="K1:N1"/>
    <mergeCell ref="O1:Q1"/>
  </mergeCells>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F98929-FC43-431E-B1CC-7D0B4034C168}">
  <sheetPr>
    <pageSetUpPr fitToPage="1"/>
  </sheetPr>
  <dimension ref="A1:BG71"/>
  <sheetViews>
    <sheetView zoomScale="85" zoomScaleNormal="85" workbookViewId="0">
      <selection activeCell="A4" sqref="A4"/>
    </sheetView>
  </sheetViews>
  <sheetFormatPr defaultColWidth="8.6640625" defaultRowHeight="15.75" customHeight="1" x14ac:dyDescent="0.3"/>
  <cols>
    <col min="1" max="1" width="16" style="10" customWidth="1"/>
    <col min="2" max="2" width="11.109375" style="212" customWidth="1"/>
    <col min="3" max="3" width="18.5546875" style="10" customWidth="1"/>
    <col min="4" max="4" width="28.88671875" style="10" customWidth="1"/>
    <col min="5" max="5" width="58.88671875" style="212" customWidth="1"/>
    <col min="6" max="6" width="18.109375" style="10" bestFit="1" customWidth="1"/>
    <col min="7" max="10" width="15.44140625" style="10" bestFit="1" customWidth="1"/>
    <col min="11" max="11" width="16.5546875" style="10" bestFit="1" customWidth="1"/>
    <col min="12" max="12" width="14.5546875" style="10" bestFit="1" customWidth="1"/>
    <col min="13" max="13" width="15.44140625" style="10" bestFit="1" customWidth="1"/>
    <col min="14" max="14" width="16.5546875" style="10" bestFit="1" customWidth="1"/>
    <col min="15" max="15" width="18.5546875" style="10" bestFit="1" customWidth="1"/>
    <col min="16" max="16" width="17.33203125" style="10" customWidth="1"/>
    <col min="17" max="20" width="15.44140625" style="10" bestFit="1" customWidth="1"/>
    <col min="21" max="21" width="16.5546875" style="10" bestFit="1" customWidth="1"/>
    <col min="22" max="22" width="19.6640625" style="10" bestFit="1" customWidth="1"/>
    <col min="23" max="23" width="16.5546875" style="10" bestFit="1" customWidth="1"/>
    <col min="24" max="24" width="16.6640625" style="10" bestFit="1" customWidth="1"/>
    <col min="25" max="25" width="24.44140625" style="10" bestFit="1" customWidth="1"/>
    <col min="26" max="27" width="15.44140625" style="10" bestFit="1" customWidth="1"/>
    <col min="28" max="28" width="16.5546875" style="10" bestFit="1" customWidth="1"/>
    <col min="29" max="31" width="15.44140625" style="10" bestFit="1" customWidth="1"/>
    <col min="32" max="32" width="17" style="10" bestFit="1" customWidth="1"/>
    <col min="33" max="33" width="15.44140625" style="10" bestFit="1" customWidth="1"/>
    <col min="34" max="34" width="16.5546875" style="10" bestFit="1" customWidth="1"/>
    <col min="35" max="35" width="15.5546875" style="10" customWidth="1"/>
    <col min="36" max="36" width="14.6640625" style="10" bestFit="1" customWidth="1"/>
    <col min="37" max="37" width="15.44140625" style="10" bestFit="1" customWidth="1"/>
    <col min="38" max="38" width="22.109375" style="10" bestFit="1" customWidth="1"/>
    <col min="39" max="39" width="20.5546875" style="10" bestFit="1" customWidth="1"/>
    <col min="40" max="41" width="15.44140625" style="10" bestFit="1" customWidth="1"/>
    <col min="42" max="42" width="20.6640625" style="10" bestFit="1" customWidth="1"/>
    <col min="43" max="43" width="17.5546875" style="10" bestFit="1" customWidth="1"/>
    <col min="44" max="44" width="19.6640625" style="10" bestFit="1" customWidth="1"/>
    <col min="45" max="45" width="18.33203125" style="10" customWidth="1"/>
    <col min="46" max="46" width="15.5546875" style="10" bestFit="1" customWidth="1"/>
    <col min="47" max="49" width="15.44140625" style="10" bestFit="1" customWidth="1"/>
    <col min="50" max="50" width="15.44140625" style="10" customWidth="1"/>
    <col min="51" max="52" width="28.88671875" style="10" customWidth="1"/>
    <col min="53" max="53" width="21.6640625" style="10" customWidth="1"/>
    <col min="54" max="54" width="15.33203125" style="10" bestFit="1" customWidth="1"/>
    <col min="55" max="16384" width="8.6640625" style="10"/>
  </cols>
  <sheetData>
    <row r="1" spans="1:54" s="1" customFormat="1" ht="15.6" x14ac:dyDescent="0.3">
      <c r="A1" s="1" t="s">
        <v>755</v>
      </c>
      <c r="B1" s="194"/>
      <c r="E1" s="194"/>
      <c r="I1" s="10" t="s">
        <v>77</v>
      </c>
      <c r="Z1" s="105"/>
    </row>
    <row r="2" spans="1:54" s="1" customFormat="1" ht="15.6" x14ac:dyDescent="0.3">
      <c r="A2" s="1" t="s">
        <v>756</v>
      </c>
      <c r="B2" s="194"/>
      <c r="E2" s="194"/>
      <c r="Z2" s="105"/>
    </row>
    <row r="3" spans="1:54" s="1" customFormat="1" ht="16.2" thickBot="1" x14ac:dyDescent="0.35">
      <c r="A3" s="1" t="s">
        <v>79</v>
      </c>
      <c r="B3" s="194"/>
      <c r="E3" s="194"/>
      <c r="Z3" s="105"/>
    </row>
    <row r="4" spans="1:54" s="1" customFormat="1" ht="45.6" customHeight="1" thickBot="1" x14ac:dyDescent="0.35">
      <c r="B4" s="194"/>
      <c r="E4" s="194"/>
      <c r="F4" s="286" t="s">
        <v>80</v>
      </c>
      <c r="G4" s="287"/>
      <c r="H4" s="287"/>
      <c r="I4" s="287"/>
      <c r="J4" s="287"/>
      <c r="K4" s="287"/>
      <c r="L4" s="287"/>
      <c r="M4" s="287"/>
      <c r="N4" s="287"/>
      <c r="O4" s="287"/>
      <c r="P4" s="287"/>
      <c r="Q4" s="287"/>
      <c r="R4" s="287"/>
      <c r="S4" s="287"/>
      <c r="T4" s="287"/>
      <c r="U4" s="287"/>
      <c r="V4" s="287"/>
      <c r="W4" s="287"/>
      <c r="X4" s="287"/>
      <c r="Y4" s="287"/>
      <c r="Z4" s="287"/>
      <c r="AA4" s="287"/>
      <c r="AB4" s="287"/>
      <c r="AC4" s="287"/>
      <c r="AD4" s="287"/>
      <c r="AE4" s="287"/>
      <c r="AF4" s="287"/>
      <c r="AG4" s="287"/>
      <c r="AH4" s="287"/>
      <c r="AI4" s="287"/>
      <c r="AJ4" s="287"/>
      <c r="AK4" s="287"/>
      <c r="AL4" s="287"/>
      <c r="AM4" s="287"/>
      <c r="AN4" s="287"/>
      <c r="AO4" s="287"/>
      <c r="AP4" s="287"/>
      <c r="AQ4" s="287"/>
      <c r="AR4" s="287"/>
      <c r="AS4" s="287"/>
      <c r="AT4" s="287"/>
      <c r="AU4" s="287"/>
      <c r="AV4" s="287"/>
      <c r="AW4" s="287"/>
      <c r="AX4" s="288"/>
      <c r="AY4" s="283" t="s">
        <v>81</v>
      </c>
      <c r="AZ4" s="284"/>
    </row>
    <row r="5" spans="1:54" ht="47.4" thickBot="1" x14ac:dyDescent="0.35">
      <c r="B5" s="205" t="s">
        <v>82</v>
      </c>
      <c r="C5" s="3" t="s">
        <v>83</v>
      </c>
      <c r="D5" s="3" t="s">
        <v>84</v>
      </c>
      <c r="E5" s="195" t="s">
        <v>757</v>
      </c>
      <c r="F5" s="213" t="s">
        <v>758</v>
      </c>
      <c r="G5" s="213" t="s">
        <v>759</v>
      </c>
      <c r="H5" s="213" t="s">
        <v>760</v>
      </c>
      <c r="I5" s="213" t="s">
        <v>761</v>
      </c>
      <c r="J5" s="213" t="s">
        <v>762</v>
      </c>
      <c r="K5" s="213" t="s">
        <v>763</v>
      </c>
      <c r="L5" s="213" t="s">
        <v>764</v>
      </c>
      <c r="M5" s="213" t="s">
        <v>765</v>
      </c>
      <c r="N5" s="213" t="s">
        <v>766</v>
      </c>
      <c r="O5" s="213" t="s">
        <v>767</v>
      </c>
      <c r="P5" s="213" t="s">
        <v>768</v>
      </c>
      <c r="Q5" s="213" t="s">
        <v>769</v>
      </c>
      <c r="R5" s="213" t="s">
        <v>770</v>
      </c>
      <c r="S5" s="213" t="s">
        <v>771</v>
      </c>
      <c r="T5" s="213" t="s">
        <v>772</v>
      </c>
      <c r="U5" s="213" t="s">
        <v>773</v>
      </c>
      <c r="V5" s="213" t="s">
        <v>774</v>
      </c>
      <c r="W5" s="213" t="s">
        <v>775</v>
      </c>
      <c r="X5" s="213" t="s">
        <v>776</v>
      </c>
      <c r="Y5" s="213" t="s">
        <v>777</v>
      </c>
      <c r="Z5" s="213" t="s">
        <v>778</v>
      </c>
      <c r="AA5" s="213" t="s">
        <v>779</v>
      </c>
      <c r="AB5" s="213" t="s">
        <v>780</v>
      </c>
      <c r="AC5" s="213" t="s">
        <v>781</v>
      </c>
      <c r="AD5" s="213" t="s">
        <v>782</v>
      </c>
      <c r="AE5" s="213" t="s">
        <v>783</v>
      </c>
      <c r="AF5" s="213" t="s">
        <v>784</v>
      </c>
      <c r="AG5" s="213" t="s">
        <v>785</v>
      </c>
      <c r="AH5" s="213" t="s">
        <v>786</v>
      </c>
      <c r="AI5" s="213" t="s">
        <v>787</v>
      </c>
      <c r="AJ5" s="213" t="s">
        <v>788</v>
      </c>
      <c r="AK5" s="213" t="s">
        <v>789</v>
      </c>
      <c r="AL5" s="213" t="s">
        <v>790</v>
      </c>
      <c r="AM5" s="213" t="s">
        <v>791</v>
      </c>
      <c r="AN5" s="213" t="s">
        <v>792</v>
      </c>
      <c r="AO5" s="213" t="s">
        <v>793</v>
      </c>
      <c r="AP5" s="213" t="s">
        <v>794</v>
      </c>
      <c r="AQ5" s="213" t="s">
        <v>795</v>
      </c>
      <c r="AR5" s="213" t="s">
        <v>796</v>
      </c>
      <c r="AS5" s="213" t="s">
        <v>797</v>
      </c>
      <c r="AT5" s="213" t="s">
        <v>798</v>
      </c>
      <c r="AU5" s="213" t="s">
        <v>799</v>
      </c>
      <c r="AV5" s="213" t="s">
        <v>753</v>
      </c>
      <c r="AW5" s="213" t="s">
        <v>800</v>
      </c>
      <c r="AX5" s="213" t="s">
        <v>801</v>
      </c>
      <c r="AY5" s="3" t="s">
        <v>802</v>
      </c>
      <c r="AZ5" s="3" t="s">
        <v>803</v>
      </c>
      <c r="BA5" s="3" t="s">
        <v>103</v>
      </c>
    </row>
    <row r="6" spans="1:54" s="179" customFormat="1" ht="49.2" thickBot="1" x14ac:dyDescent="0.35">
      <c r="A6" s="280" t="s">
        <v>105</v>
      </c>
      <c r="B6" s="214" t="s">
        <v>106</v>
      </c>
      <c r="C6" s="6" t="s">
        <v>107</v>
      </c>
      <c r="D6" s="6" t="s">
        <v>108</v>
      </c>
      <c r="E6" s="196" t="s">
        <v>109</v>
      </c>
      <c r="F6" s="177">
        <f>F19/F17</f>
        <v>12265.812341085271</v>
      </c>
      <c r="G6" s="177">
        <f t="shared" ref="G6:AW6" si="0">G19/G17</f>
        <v>12143.67724137931</v>
      </c>
      <c r="H6" s="177">
        <f t="shared" si="0"/>
        <v>10570.76897826087</v>
      </c>
      <c r="I6" s="177">
        <f t="shared" si="0"/>
        <v>15689.393630363034</v>
      </c>
      <c r="J6" s="177">
        <f t="shared" si="0"/>
        <v>14093.539652605461</v>
      </c>
      <c r="K6" s="177">
        <f t="shared" si="0"/>
        <v>7931.3004504504497</v>
      </c>
      <c r="L6" s="177">
        <f t="shared" si="0"/>
        <v>8938.8086206896551</v>
      </c>
      <c r="M6" s="177">
        <f t="shared" si="0"/>
        <v>13715.730481586403</v>
      </c>
      <c r="N6" s="177">
        <f t="shared" si="0"/>
        <v>13501.306206415622</v>
      </c>
      <c r="O6" s="177">
        <f t="shared" si="0"/>
        <v>16305.794339622642</v>
      </c>
      <c r="P6" s="177">
        <f t="shared" si="0"/>
        <v>16630.832901639344</v>
      </c>
      <c r="Q6" s="177">
        <f t="shared" si="0"/>
        <v>8768.4352392947112</v>
      </c>
      <c r="R6" s="177">
        <f t="shared" si="0"/>
        <v>14930.315378151261</v>
      </c>
      <c r="S6" s="177">
        <f t="shared" si="0"/>
        <v>9674.1717241379301</v>
      </c>
      <c r="T6" s="177">
        <f t="shared" si="0"/>
        <v>7587.9091338582675</v>
      </c>
      <c r="U6" s="177">
        <f t="shared" si="0"/>
        <v>12898.74514905149</v>
      </c>
      <c r="V6" s="177">
        <f t="shared" si="0"/>
        <v>14514.785455904335</v>
      </c>
      <c r="W6" s="177">
        <f t="shared" si="0"/>
        <v>17624.402122477386</v>
      </c>
      <c r="X6" s="177">
        <f t="shared" si="0"/>
        <v>12647.63001510574</v>
      </c>
      <c r="Y6" s="177">
        <f t="shared" si="0"/>
        <v>10474.382658610273</v>
      </c>
      <c r="Z6" s="177">
        <f t="shared" si="0"/>
        <v>15587.249084821427</v>
      </c>
      <c r="AA6" s="177">
        <f t="shared" si="0"/>
        <v>18741.621779859484</v>
      </c>
      <c r="AB6" s="177">
        <f t="shared" si="0"/>
        <v>11543.276094276094</v>
      </c>
      <c r="AC6" s="177">
        <f t="shared" si="0"/>
        <v>10328.813143939393</v>
      </c>
      <c r="AD6" s="177">
        <f t="shared" si="0"/>
        <v>13979.456607142856</v>
      </c>
      <c r="AE6" s="177">
        <f t="shared" si="0"/>
        <v>25015.984419753084</v>
      </c>
      <c r="AF6" s="177">
        <f t="shared" si="0"/>
        <v>10587.475291375293</v>
      </c>
      <c r="AG6" s="177">
        <f t="shared" si="0"/>
        <v>17371.968019480522</v>
      </c>
      <c r="AH6" s="177">
        <f t="shared" si="0"/>
        <v>1511.9425000000001</v>
      </c>
      <c r="AI6" s="177">
        <f t="shared" si="0"/>
        <v>12328.921814671814</v>
      </c>
      <c r="AJ6" s="177">
        <f t="shared" si="0"/>
        <v>12944.306588235295</v>
      </c>
      <c r="AK6" s="177">
        <f t="shared" si="0"/>
        <v>10522.020988835726</v>
      </c>
      <c r="AL6" s="177">
        <f t="shared" si="0"/>
        <v>9219.2434552845534</v>
      </c>
      <c r="AM6" s="177">
        <f t="shared" si="0"/>
        <v>17434.339493243246</v>
      </c>
      <c r="AN6" s="177">
        <f t="shared" si="0"/>
        <v>12997.238284313726</v>
      </c>
      <c r="AO6" s="177">
        <f t="shared" si="0"/>
        <v>13708.485424107143</v>
      </c>
      <c r="AP6" s="177">
        <f t="shared" si="0"/>
        <v>21508.843940217394</v>
      </c>
      <c r="AQ6" s="177">
        <f t="shared" si="0"/>
        <v>21344.799348837212</v>
      </c>
      <c r="AR6" s="177">
        <f t="shared" si="0"/>
        <v>9921.5251648351659</v>
      </c>
      <c r="AS6" s="177">
        <f t="shared" si="0"/>
        <v>13633.389023066487</v>
      </c>
      <c r="AT6" s="177">
        <f t="shared" si="0"/>
        <v>13498.624160839159</v>
      </c>
      <c r="AU6" s="177">
        <f t="shared" si="0"/>
        <v>18792.504204545457</v>
      </c>
      <c r="AV6" s="177">
        <f t="shared" si="0"/>
        <v>11210.648634812285</v>
      </c>
      <c r="AW6" s="177">
        <f t="shared" si="0"/>
        <v>14500.681400560223</v>
      </c>
      <c r="AX6" s="177">
        <f>AX19/AX17</f>
        <v>6417.5857575757573</v>
      </c>
      <c r="AY6" s="177">
        <f>AY19/AY17</f>
        <v>10130.870360610264</v>
      </c>
      <c r="AZ6" s="177">
        <f>AZ19/AZ17</f>
        <v>7577.7049999999999</v>
      </c>
      <c r="BA6" s="178">
        <f>BA19/BA17</f>
        <v>13716.273958425474</v>
      </c>
    </row>
    <row r="7" spans="1:54" s="179" customFormat="1" ht="49.2" thickBot="1" x14ac:dyDescent="0.35">
      <c r="A7" s="282"/>
      <c r="B7" s="214" t="s">
        <v>111</v>
      </c>
      <c r="C7" s="6" t="s">
        <v>112</v>
      </c>
      <c r="D7" s="6" t="s">
        <v>113</v>
      </c>
      <c r="E7" s="196" t="s">
        <v>114</v>
      </c>
      <c r="F7" s="177">
        <f t="shared" ref="F7:AG7" si="1">F29/F26</f>
        <v>40813.116834532375</v>
      </c>
      <c r="G7" s="177">
        <f t="shared" si="1"/>
        <v>30468.951437500004</v>
      </c>
      <c r="H7" s="177">
        <f t="shared" si="1"/>
        <v>23292.830971563981</v>
      </c>
      <c r="I7" s="177">
        <f t="shared" si="1"/>
        <v>27219.764176334105</v>
      </c>
      <c r="J7" s="177">
        <f t="shared" si="1"/>
        <v>28239.733321976153</v>
      </c>
      <c r="K7" s="177">
        <f t="shared" si="1"/>
        <v>21284.891294117646</v>
      </c>
      <c r="L7" s="177">
        <f t="shared" si="1"/>
        <v>9737.273684210526</v>
      </c>
      <c r="M7" s="177">
        <f t="shared" si="1"/>
        <v>32272.381758241761</v>
      </c>
      <c r="N7" s="177">
        <f t="shared" si="1"/>
        <v>26537.565329849767</v>
      </c>
      <c r="O7" s="177">
        <f t="shared" si="1"/>
        <v>40939.193179723501</v>
      </c>
      <c r="P7" s="177">
        <f t="shared" si="1"/>
        <v>28533.979467455621</v>
      </c>
      <c r="Q7" s="177">
        <f t="shared" si="1"/>
        <v>17457.572456026057</v>
      </c>
      <c r="R7" s="177">
        <f t="shared" si="1"/>
        <v>28580.437317073171</v>
      </c>
      <c r="S7" s="177">
        <f t="shared" si="1"/>
        <v>39315.106487935656</v>
      </c>
      <c r="T7" s="177">
        <f t="shared" si="1"/>
        <v>12493.829567496725</v>
      </c>
      <c r="U7" s="177">
        <f t="shared" si="1"/>
        <v>19218.134699690403</v>
      </c>
      <c r="V7" s="177">
        <f t="shared" si="1"/>
        <v>18623.881761565834</v>
      </c>
      <c r="W7" s="177">
        <f t="shared" si="1"/>
        <v>40304.674411267602</v>
      </c>
      <c r="X7" s="177">
        <f t="shared" si="1"/>
        <v>28287.81397260274</v>
      </c>
      <c r="Y7" s="177">
        <f t="shared" si="1"/>
        <v>40495.146265060241</v>
      </c>
      <c r="Z7" s="177">
        <f t="shared" si="1"/>
        <v>27396.681072386058</v>
      </c>
      <c r="AA7" s="177">
        <f t="shared" si="1"/>
        <v>26410.115921052668</v>
      </c>
      <c r="AB7" s="177">
        <f t="shared" si="1"/>
        <v>23097.841279554938</v>
      </c>
      <c r="AC7" s="177">
        <f t="shared" si="1"/>
        <v>28463.384936936938</v>
      </c>
      <c r="AD7" s="177">
        <f t="shared" si="1"/>
        <v>27133.189975903613</v>
      </c>
      <c r="AE7" s="177">
        <f t="shared" si="1"/>
        <v>28468.526321112517</v>
      </c>
      <c r="AF7" s="177">
        <f t="shared" si="1"/>
        <v>15902.83541385135</v>
      </c>
      <c r="AG7" s="177">
        <f t="shared" si="1"/>
        <v>33825.47346613546</v>
      </c>
      <c r="AH7" s="177" t="s">
        <v>133</v>
      </c>
      <c r="AI7" s="177">
        <f t="shared" ref="AI7:BA7" si="2">AI29/AI26</f>
        <v>21619.637353308368</v>
      </c>
      <c r="AJ7" s="177">
        <f t="shared" si="2"/>
        <v>21771.537777777779</v>
      </c>
      <c r="AK7" s="177">
        <f t="shared" si="2"/>
        <v>17835.707422096315</v>
      </c>
      <c r="AL7" s="177">
        <f t="shared" si="2"/>
        <v>16873.39350357508</v>
      </c>
      <c r="AM7" s="177">
        <f t="shared" si="2"/>
        <v>28285.422983138778</v>
      </c>
      <c r="AN7" s="177">
        <f t="shared" si="2"/>
        <v>21972.543714285715</v>
      </c>
      <c r="AO7" s="177">
        <f t="shared" si="2"/>
        <v>23640.812348367032</v>
      </c>
      <c r="AP7" s="177">
        <f t="shared" si="2"/>
        <v>23456.677818181819</v>
      </c>
      <c r="AQ7" s="177">
        <f t="shared" si="2"/>
        <v>53180.149473684207</v>
      </c>
      <c r="AR7" s="177">
        <f t="shared" si="2"/>
        <v>47016.834857142858</v>
      </c>
      <c r="AS7" s="177">
        <f t="shared" si="2"/>
        <v>28905.111219512197</v>
      </c>
      <c r="AT7" s="177">
        <f t="shared" si="2"/>
        <v>32555.408799102133</v>
      </c>
      <c r="AU7" s="177">
        <f t="shared" si="2"/>
        <v>50506.193333333329</v>
      </c>
      <c r="AV7" s="177">
        <f t="shared" si="2"/>
        <v>23403.417777777773</v>
      </c>
      <c r="AW7" s="177">
        <f t="shared" si="2"/>
        <v>31499.594818652855</v>
      </c>
      <c r="AX7" s="177">
        <f t="shared" si="2"/>
        <v>10321.525103011109</v>
      </c>
      <c r="AY7" s="177">
        <f t="shared" si="2"/>
        <v>8637.9475707061574</v>
      </c>
      <c r="AZ7" s="177">
        <f t="shared" si="2"/>
        <v>7336.2604651162783</v>
      </c>
      <c r="BA7" s="178">
        <f t="shared" si="2"/>
        <v>21135.700226253459</v>
      </c>
    </row>
    <row r="8" spans="1:54" s="86" customFormat="1" ht="16.2" thickBot="1" x14ac:dyDescent="0.35">
      <c r="B8" s="197"/>
      <c r="E8" s="197"/>
    </row>
    <row r="9" spans="1:54" s="23" customFormat="1" ht="47.4" thickBot="1" x14ac:dyDescent="0.35">
      <c r="A9" s="280" t="s">
        <v>116</v>
      </c>
      <c r="B9" s="215" t="s">
        <v>117</v>
      </c>
      <c r="C9" s="91" t="s">
        <v>107</v>
      </c>
      <c r="D9" s="91" t="s">
        <v>118</v>
      </c>
      <c r="E9" s="198" t="s">
        <v>119</v>
      </c>
      <c r="F9" s="180">
        <f>F19/F18</f>
        <v>1115627.7677750231</v>
      </c>
      <c r="G9" s="180">
        <f t="shared" ref="G9:BA9" si="3">G19/G18</f>
        <v>1106510.0595726296</v>
      </c>
      <c r="H9" s="180">
        <f t="shared" si="3"/>
        <v>1489400.3767490445</v>
      </c>
      <c r="I9" s="180">
        <f t="shared" si="3"/>
        <v>1830150.8935909607</v>
      </c>
      <c r="J9" s="180">
        <f t="shared" si="3"/>
        <v>1251671.4977419854</v>
      </c>
      <c r="K9" s="180">
        <f t="shared" si="3"/>
        <v>770023.72744340193</v>
      </c>
      <c r="L9" s="180">
        <f t="shared" si="3"/>
        <v>695659.65743329423</v>
      </c>
      <c r="M9" s="180">
        <f t="shared" si="3"/>
        <v>1435046.9911754802</v>
      </c>
      <c r="N9" s="180">
        <f t="shared" si="3"/>
        <v>1082621.0493942252</v>
      </c>
      <c r="O9" s="180">
        <f t="shared" si="3"/>
        <v>1211782.4673966337</v>
      </c>
      <c r="P9" s="180">
        <f t="shared" si="3"/>
        <v>1393640.8640457955</v>
      </c>
      <c r="Q9" s="180">
        <f t="shared" si="3"/>
        <v>776643.42141468939</v>
      </c>
      <c r="R9" s="180">
        <f t="shared" si="3"/>
        <v>1371293.0504896981</v>
      </c>
      <c r="S9" s="180">
        <f t="shared" si="3"/>
        <v>845978.96881781926</v>
      </c>
      <c r="T9" s="180">
        <f t="shared" si="3"/>
        <v>654255.92758133076</v>
      </c>
      <c r="U9" s="180">
        <f t="shared" si="3"/>
        <v>967167.60886699532</v>
      </c>
      <c r="V9" s="180">
        <f t="shared" si="3"/>
        <v>1343981.2040211314</v>
      </c>
      <c r="W9" s="180">
        <f t="shared" si="3"/>
        <v>1531883.2402139949</v>
      </c>
      <c r="X9" s="180">
        <f t="shared" si="3"/>
        <v>1443998.6950710474</v>
      </c>
      <c r="Y9" s="180">
        <f t="shared" si="3"/>
        <v>956219.65543126001</v>
      </c>
      <c r="Z9" s="180">
        <f t="shared" si="3"/>
        <v>1242483.6554406134</v>
      </c>
      <c r="AA9" s="180">
        <f t="shared" si="3"/>
        <v>1654558.3365964526</v>
      </c>
      <c r="AB9" s="180">
        <f t="shared" si="3"/>
        <v>1185830.5823779893</v>
      </c>
      <c r="AC9" s="180">
        <f t="shared" si="3"/>
        <v>998165.50316139823</v>
      </c>
      <c r="AD9" s="180">
        <f t="shared" si="3"/>
        <v>1229826.1617375824</v>
      </c>
      <c r="AE9" s="180">
        <f t="shared" si="3"/>
        <v>2322501.675126995</v>
      </c>
      <c r="AF9" s="180">
        <f t="shared" si="3"/>
        <v>729221.33463070577</v>
      </c>
      <c r="AG9" s="180">
        <f t="shared" si="3"/>
        <v>1297017.6191722369</v>
      </c>
      <c r="AH9" s="180">
        <f t="shared" si="3"/>
        <v>354802.47639018868</v>
      </c>
      <c r="AI9" s="180">
        <f t="shared" si="3"/>
        <v>978244.68581375154</v>
      </c>
      <c r="AJ9" s="180">
        <f t="shared" si="3"/>
        <v>945926.04360498313</v>
      </c>
      <c r="AK9" s="180">
        <f t="shared" si="3"/>
        <v>770266.93960439833</v>
      </c>
      <c r="AL9" s="180">
        <f t="shared" si="3"/>
        <v>681205.87108616694</v>
      </c>
      <c r="AM9" s="180">
        <f t="shared" si="3"/>
        <v>1416425.6644591154</v>
      </c>
      <c r="AN9" s="180">
        <f t="shared" si="3"/>
        <v>1597579.0597740526</v>
      </c>
      <c r="AO9" s="180">
        <f t="shared" si="3"/>
        <v>1503528.5279176561</v>
      </c>
      <c r="AP9" s="180">
        <f t="shared" si="3"/>
        <v>2111694.4130968638</v>
      </c>
      <c r="AQ9" s="180">
        <f t="shared" si="3"/>
        <v>982707.39428154356</v>
      </c>
      <c r="AR9" s="180">
        <f t="shared" si="3"/>
        <v>1320368.016396954</v>
      </c>
      <c r="AS9" s="180">
        <f t="shared" si="3"/>
        <v>1081180.0670239881</v>
      </c>
      <c r="AT9" s="180">
        <f t="shared" si="3"/>
        <v>1263810.6747349496</v>
      </c>
      <c r="AU9" s="180">
        <f t="shared" si="3"/>
        <v>1535927.7315039581</v>
      </c>
      <c r="AV9" s="180">
        <f t="shared" si="3"/>
        <v>978577.09552559047</v>
      </c>
      <c r="AW9" s="180">
        <f t="shared" si="3"/>
        <v>1196149.1581462598</v>
      </c>
      <c r="AX9" s="180">
        <f>AX19/AX18</f>
        <v>485329.92291666701</v>
      </c>
      <c r="AY9" s="180">
        <f>AY19/AY18</f>
        <v>798174.79166373808</v>
      </c>
      <c r="AZ9" s="180">
        <f>AZ19/AZ18</f>
        <v>2857877.4775929986</v>
      </c>
      <c r="BA9" s="181">
        <f t="shared" si="3"/>
        <v>1193052.8674929265</v>
      </c>
    </row>
    <row r="10" spans="1:54" s="23" customFormat="1" ht="141" thickBot="1" x14ac:dyDescent="0.35">
      <c r="A10" s="281"/>
      <c r="B10" s="216"/>
      <c r="C10" s="5" t="s">
        <v>112</v>
      </c>
      <c r="D10" s="5" t="s">
        <v>121</v>
      </c>
      <c r="E10" s="199" t="s">
        <v>122</v>
      </c>
      <c r="F10" s="129">
        <f>(F29-(F9*F28))/F27</f>
        <v>2309602.9415469109</v>
      </c>
      <c r="G10" s="129">
        <f t="shared" ref="G10:BA10" si="4">(G29-(G9*G28))/G27</f>
        <v>2130131.7487694537</v>
      </c>
      <c r="H10" s="129">
        <f t="shared" si="4"/>
        <v>995594.11043365241</v>
      </c>
      <c r="I10" s="129">
        <f t="shared" si="4"/>
        <v>1378803.3031533975</v>
      </c>
      <c r="J10" s="129">
        <f t="shared" si="4"/>
        <v>1714695.5986059599</v>
      </c>
      <c r="K10" s="129">
        <f t="shared" si="4"/>
        <v>925027.17662422988</v>
      </c>
      <c r="L10" s="129">
        <f t="shared" si="4"/>
        <v>527294.61879551539</v>
      </c>
      <c r="M10" s="129">
        <f t="shared" si="4"/>
        <v>3087731.5586419241</v>
      </c>
      <c r="N10" s="129">
        <f t="shared" si="4"/>
        <v>2301920.8445369834</v>
      </c>
      <c r="O10" s="129">
        <f t="shared" si="4"/>
        <v>2567689.3547867564</v>
      </c>
      <c r="P10" s="129">
        <f t="shared" si="4"/>
        <v>501258.55658668844</v>
      </c>
      <c r="Q10" s="129">
        <f t="shared" si="4"/>
        <v>1400449.8296421862</v>
      </c>
      <c r="R10" s="129">
        <f t="shared" si="4"/>
        <v>1055977.70914081</v>
      </c>
      <c r="S10" s="129">
        <f t="shared" si="4"/>
        <v>3745200.7322383402</v>
      </c>
      <c r="T10" s="129">
        <f t="shared" si="4"/>
        <v>755621.95856372965</v>
      </c>
      <c r="U10" s="129">
        <f t="shared" si="4"/>
        <v>869482.90983918146</v>
      </c>
      <c r="V10" s="129">
        <f t="shared" si="4"/>
        <v>905577.38526580471</v>
      </c>
      <c r="W10" s="129">
        <f t="shared" si="4"/>
        <v>4255141.9108733395</v>
      </c>
      <c r="X10" s="129">
        <f t="shared" si="4"/>
        <v>2174029.1571205487</v>
      </c>
      <c r="Y10" s="129">
        <f t="shared" si="4"/>
        <v>2551573.7982919514</v>
      </c>
      <c r="Z10" s="129">
        <f t="shared" si="4"/>
        <v>1759001.079841322</v>
      </c>
      <c r="AA10" s="129">
        <f t="shared" si="4"/>
        <v>2471024.0934355613</v>
      </c>
      <c r="AB10" s="129">
        <f t="shared" si="4"/>
        <v>1205372.4132041284</v>
      </c>
      <c r="AC10" s="129">
        <f t="shared" si="4"/>
        <v>2257474.604821567</v>
      </c>
      <c r="AD10" s="129">
        <f t="shared" si="4"/>
        <v>1357809.0469786678</v>
      </c>
      <c r="AE10" s="129">
        <f t="shared" si="4"/>
        <v>197730.58876464781</v>
      </c>
      <c r="AF10" s="129">
        <f t="shared" si="4"/>
        <v>1085563.2504873846</v>
      </c>
      <c r="AG10" s="129">
        <f t="shared" si="4"/>
        <v>2430105.8130195867</v>
      </c>
      <c r="AH10" s="193" t="s">
        <v>133</v>
      </c>
      <c r="AI10" s="129">
        <f t="shared" si="4"/>
        <v>868030.30206647771</v>
      </c>
      <c r="AJ10" s="129">
        <f t="shared" si="4"/>
        <v>1506093.9196347864</v>
      </c>
      <c r="AK10" s="129">
        <f t="shared" si="4"/>
        <v>1478083.6853040934</v>
      </c>
      <c r="AL10" s="129">
        <f t="shared" si="4"/>
        <v>2361361.4781934968</v>
      </c>
      <c r="AM10" s="129">
        <f t="shared" si="4"/>
        <v>1330779.8849394573</v>
      </c>
      <c r="AN10" s="129">
        <f t="shared" si="4"/>
        <v>3591686.5735765696</v>
      </c>
      <c r="AO10" s="129">
        <f t="shared" si="4"/>
        <v>1174165.8939498467</v>
      </c>
      <c r="AP10" s="129">
        <f t="shared" si="4"/>
        <v>-448082.42554294562</v>
      </c>
      <c r="AQ10" s="129">
        <f t="shared" si="4"/>
        <v>2323248.2216040348</v>
      </c>
      <c r="AR10" s="129">
        <f t="shared" si="4"/>
        <v>2220150.5277169836</v>
      </c>
      <c r="AS10" s="129">
        <f t="shared" si="4"/>
        <v>1721417.5552562699</v>
      </c>
      <c r="AT10" s="129">
        <f t="shared" si="4"/>
        <v>2061787.8256690882</v>
      </c>
      <c r="AU10" s="129">
        <f t="shared" si="4"/>
        <v>2731957.6777731408</v>
      </c>
      <c r="AV10" s="129">
        <f t="shared" si="4"/>
        <v>1571206.0106434287</v>
      </c>
      <c r="AW10" s="129">
        <f t="shared" si="4"/>
        <v>1979942.0664515086</v>
      </c>
      <c r="AX10" s="129">
        <f t="shared" si="4"/>
        <v>551652.63134421979</v>
      </c>
      <c r="AY10" s="77" t="s">
        <v>123</v>
      </c>
      <c r="AZ10" s="77" t="s">
        <v>123</v>
      </c>
      <c r="BA10" s="129">
        <f t="shared" si="4"/>
        <v>1121327.5443987583</v>
      </c>
    </row>
    <row r="11" spans="1:54" s="23" customFormat="1" ht="63" thickBot="1" x14ac:dyDescent="0.35">
      <c r="A11" s="281"/>
      <c r="B11" s="215" t="s">
        <v>124</v>
      </c>
      <c r="C11" s="91" t="s">
        <v>112</v>
      </c>
      <c r="D11" s="91" t="s">
        <v>125</v>
      </c>
      <c r="E11" s="200" t="s">
        <v>126</v>
      </c>
      <c r="F11" s="132"/>
      <c r="G11" s="127"/>
      <c r="H11" s="127"/>
      <c r="I11" s="127"/>
      <c r="J11" s="127"/>
      <c r="K11" s="127"/>
      <c r="L11" s="127"/>
      <c r="M11" s="127"/>
      <c r="N11" s="127"/>
      <c r="O11" s="127"/>
      <c r="P11" s="127"/>
      <c r="Q11" s="127"/>
      <c r="R11" s="127"/>
      <c r="S11" s="127"/>
      <c r="T11" s="127"/>
      <c r="U11" s="127"/>
      <c r="V11" s="127"/>
      <c r="W11" s="127"/>
      <c r="X11" s="127"/>
      <c r="Y11" s="127"/>
      <c r="Z11" s="127"/>
      <c r="AA11" s="127"/>
      <c r="AB11" s="127"/>
      <c r="AC11" s="127"/>
      <c r="AD11" s="127"/>
      <c r="AE11" s="127"/>
      <c r="AF11" s="127"/>
      <c r="AG11" s="127"/>
      <c r="AH11" s="127"/>
      <c r="AI11" s="127"/>
      <c r="AJ11" s="127"/>
      <c r="AK11" s="127"/>
      <c r="AL11" s="127"/>
      <c r="AM11" s="127"/>
      <c r="AN11" s="127"/>
      <c r="AO11" s="127"/>
      <c r="AP11" s="127"/>
      <c r="AQ11" s="127"/>
      <c r="AR11" s="127"/>
      <c r="AS11" s="127"/>
      <c r="AT11" s="127"/>
      <c r="AU11" s="127"/>
      <c r="AV11" s="127"/>
      <c r="AW11" s="127"/>
      <c r="AX11" s="127"/>
      <c r="AY11" s="180">
        <f t="shared" ref="AY11:BA11" si="5">AY23</f>
        <v>2147137.0114819696</v>
      </c>
      <c r="AZ11" s="180">
        <f t="shared" si="5"/>
        <v>5980698.6570915636</v>
      </c>
      <c r="BA11" s="180">
        <f t="shared" si="5"/>
        <v>2505980.4954632944</v>
      </c>
    </row>
    <row r="12" spans="1:54" s="23" customFormat="1" ht="53.25" customHeight="1" thickBot="1" x14ac:dyDescent="0.35">
      <c r="A12" s="281"/>
      <c r="B12" s="215" t="s">
        <v>127</v>
      </c>
      <c r="C12" s="275" t="s">
        <v>128</v>
      </c>
      <c r="D12" s="275" t="s">
        <v>129</v>
      </c>
      <c r="E12" s="201" t="s">
        <v>804</v>
      </c>
      <c r="F12" s="190">
        <f>F47/F44</f>
        <v>483515.52</v>
      </c>
      <c r="G12" s="191" t="s">
        <v>133</v>
      </c>
      <c r="H12" s="191" t="s">
        <v>133</v>
      </c>
      <c r="I12" s="191" t="s">
        <v>133</v>
      </c>
      <c r="J12" s="191" t="s">
        <v>133</v>
      </c>
      <c r="K12" s="191" t="s">
        <v>133</v>
      </c>
      <c r="L12" s="191" t="s">
        <v>133</v>
      </c>
      <c r="M12" s="191" t="s">
        <v>133</v>
      </c>
      <c r="N12" s="191" t="s">
        <v>133</v>
      </c>
      <c r="O12" s="191" t="s">
        <v>133</v>
      </c>
      <c r="P12" s="190">
        <f>P47/P44</f>
        <v>1479671.7799999998</v>
      </c>
      <c r="Q12" s="190">
        <f>Q47/Q44</f>
        <v>483428.65333333332</v>
      </c>
      <c r="R12" s="190">
        <f>R47/R44</f>
        <v>624599.72</v>
      </c>
      <c r="S12" s="191" t="s">
        <v>133</v>
      </c>
      <c r="T12" s="191" t="s">
        <v>133</v>
      </c>
      <c r="U12" s="190">
        <f>U47/U44</f>
        <v>1215521.44</v>
      </c>
      <c r="V12" s="190">
        <f>V47/V44</f>
        <v>1642773.04</v>
      </c>
      <c r="W12" s="191" t="s">
        <v>133</v>
      </c>
      <c r="X12" s="190">
        <f>X47/X44</f>
        <v>604816.4</v>
      </c>
      <c r="Y12" s="191" t="s">
        <v>133</v>
      </c>
      <c r="Z12" s="191" t="s">
        <v>133</v>
      </c>
      <c r="AA12" s="190">
        <f>AA47/AA44</f>
        <v>401847.04000000004</v>
      </c>
      <c r="AB12" s="191" t="s">
        <v>133</v>
      </c>
      <c r="AC12" s="191" t="s">
        <v>133</v>
      </c>
      <c r="AD12" s="190">
        <f>AD47/AD44</f>
        <v>371383.26</v>
      </c>
      <c r="AE12" s="191" t="s">
        <v>133</v>
      </c>
      <c r="AF12" s="190">
        <f>AF47/AF44</f>
        <v>618411.10000000009</v>
      </c>
      <c r="AG12" s="191" t="s">
        <v>133</v>
      </c>
      <c r="AH12" s="191" t="s">
        <v>133</v>
      </c>
      <c r="AI12" s="191" t="s">
        <v>133</v>
      </c>
      <c r="AJ12" s="191" t="s">
        <v>133</v>
      </c>
      <c r="AK12" s="190">
        <f>AK47/AK44</f>
        <v>603921.4</v>
      </c>
      <c r="AL12" s="190">
        <f>AL47/AL44</f>
        <v>416486.712</v>
      </c>
      <c r="AM12" s="191" t="s">
        <v>133</v>
      </c>
      <c r="AN12" s="190">
        <f>AN47/AN44</f>
        <v>482603.93999999994</v>
      </c>
      <c r="AO12" s="191" t="s">
        <v>133</v>
      </c>
      <c r="AP12" s="191" t="s">
        <v>133</v>
      </c>
      <c r="AQ12" s="191" t="s">
        <v>133</v>
      </c>
      <c r="AR12" s="190">
        <f>AR47/AR44</f>
        <v>358738.18</v>
      </c>
      <c r="AS12" s="191" t="s">
        <v>133</v>
      </c>
      <c r="AT12" s="191" t="s">
        <v>133</v>
      </c>
      <c r="AU12" s="191" t="s">
        <v>133</v>
      </c>
      <c r="AV12" s="190">
        <f>AV47/AV44</f>
        <v>658381.96</v>
      </c>
      <c r="AW12" s="191" t="s">
        <v>133</v>
      </c>
      <c r="AX12" s="190">
        <f>AX47/AX44</f>
        <v>1230212.2000000002</v>
      </c>
      <c r="AY12" s="191" t="s">
        <v>133</v>
      </c>
      <c r="AZ12" s="191" t="s">
        <v>133</v>
      </c>
      <c r="BA12" s="190">
        <f>BA47/BA44</f>
        <v>649568.15066666668</v>
      </c>
    </row>
    <row r="13" spans="1:54" s="23" customFormat="1" ht="53.25" customHeight="1" thickBot="1" x14ac:dyDescent="0.35">
      <c r="A13" s="281"/>
      <c r="B13" s="216" t="s">
        <v>132</v>
      </c>
      <c r="C13" s="5" t="s">
        <v>133</v>
      </c>
      <c r="D13" s="6" t="s">
        <v>134</v>
      </c>
      <c r="E13" s="202" t="s">
        <v>135</v>
      </c>
      <c r="F13" s="127"/>
      <c r="G13" s="127"/>
      <c r="H13" s="127"/>
      <c r="I13" s="127"/>
      <c r="J13" s="127"/>
      <c r="K13" s="127"/>
      <c r="L13" s="127"/>
      <c r="M13" s="127"/>
      <c r="N13" s="127"/>
      <c r="O13" s="127"/>
      <c r="P13" s="127"/>
      <c r="Q13" s="127"/>
      <c r="R13" s="127"/>
      <c r="S13" s="127"/>
      <c r="T13" s="127"/>
      <c r="U13" s="127"/>
      <c r="V13" s="127"/>
      <c r="W13" s="127"/>
      <c r="X13" s="127"/>
      <c r="Y13" s="127"/>
      <c r="Z13" s="127"/>
      <c r="AA13" s="127"/>
      <c r="AB13" s="127"/>
      <c r="AC13" s="127"/>
      <c r="AD13" s="127"/>
      <c r="AE13" s="127"/>
      <c r="AF13" s="127"/>
      <c r="AG13" s="127"/>
      <c r="AH13" s="127"/>
      <c r="AI13" s="127"/>
      <c r="AJ13" s="127"/>
      <c r="AK13" s="127"/>
      <c r="AL13" s="127"/>
      <c r="AM13" s="127"/>
      <c r="AN13" s="127"/>
      <c r="AO13" s="127"/>
      <c r="AP13" s="127"/>
      <c r="AQ13" s="127"/>
      <c r="AR13" s="127"/>
      <c r="AS13" s="127"/>
      <c r="AT13" s="127"/>
      <c r="AU13" s="127"/>
      <c r="AV13" s="127"/>
      <c r="AW13" s="127"/>
      <c r="AX13" s="127"/>
      <c r="AY13" s="127"/>
      <c r="AZ13" s="127"/>
      <c r="BA13" s="190">
        <v>26.76</v>
      </c>
    </row>
    <row r="14" spans="1:54" s="23" customFormat="1" ht="47.4" thickBot="1" x14ac:dyDescent="0.35">
      <c r="A14" s="281"/>
      <c r="B14" s="215" t="s">
        <v>137</v>
      </c>
      <c r="C14" s="90" t="s">
        <v>112</v>
      </c>
      <c r="D14" s="90" t="s">
        <v>138</v>
      </c>
      <c r="E14" s="201" t="s">
        <v>139</v>
      </c>
      <c r="F14" s="192">
        <v>509</v>
      </c>
      <c r="G14" s="192">
        <v>425.90109890109892</v>
      </c>
      <c r="H14" s="192">
        <v>356.28846153846155</v>
      </c>
      <c r="I14" s="192">
        <v>437.96694214876032</v>
      </c>
      <c r="J14" s="192">
        <v>558</v>
      </c>
      <c r="K14" s="192">
        <v>423.47058823529414</v>
      </c>
      <c r="L14" s="192">
        <v>702.77777777777783</v>
      </c>
      <c r="M14" s="192">
        <v>777.25</v>
      </c>
      <c r="N14" s="192">
        <v>404.54609929078015</v>
      </c>
      <c r="O14" s="192">
        <v>321.28089887640448</v>
      </c>
      <c r="P14" s="192">
        <v>516.76470588235293</v>
      </c>
      <c r="Q14" s="192">
        <v>812.27272727272725</v>
      </c>
      <c r="R14" s="192">
        <v>803.66666666666663</v>
      </c>
      <c r="S14" s="192">
        <v>568.65</v>
      </c>
      <c r="T14" s="192">
        <v>691.14285714285711</v>
      </c>
      <c r="U14" s="192">
        <v>562.54999999999995</v>
      </c>
      <c r="V14" s="192">
        <v>432.15565031982942</v>
      </c>
      <c r="W14" s="192">
        <v>693.86898395721926</v>
      </c>
      <c r="X14" s="192">
        <v>558.29411764705878</v>
      </c>
      <c r="Y14" s="192">
        <v>469.53571428571428</v>
      </c>
      <c r="Z14" s="192">
        <v>328.8174603174603</v>
      </c>
      <c r="AA14" s="192">
        <v>659.58333333333337</v>
      </c>
      <c r="AB14" s="192">
        <v>391.5529411764706</v>
      </c>
      <c r="AC14" s="192">
        <v>385.39473684210526</v>
      </c>
      <c r="AD14" s="192">
        <v>302.8125</v>
      </c>
      <c r="AE14" s="192">
        <v>332.38888888888891</v>
      </c>
      <c r="AF14" s="192">
        <v>329.09259259259261</v>
      </c>
      <c r="AG14" s="192">
        <v>463.89171974522293</v>
      </c>
      <c r="AH14" s="191" t="s">
        <v>133</v>
      </c>
      <c r="AI14" s="192">
        <v>289.07692307692309</v>
      </c>
      <c r="AJ14" s="192">
        <v>158.33333333333334</v>
      </c>
      <c r="AK14" s="192">
        <v>436.89473684210526</v>
      </c>
      <c r="AL14" s="192">
        <v>519.50694444444446</v>
      </c>
      <c r="AM14" s="192">
        <v>568.98387096774195</v>
      </c>
      <c r="AN14" s="192">
        <v>334.375</v>
      </c>
      <c r="AO14" s="192">
        <v>428.64835164835165</v>
      </c>
      <c r="AP14" s="192">
        <v>343.03125</v>
      </c>
      <c r="AQ14" s="192">
        <v>591.73333333333335</v>
      </c>
      <c r="AR14" s="192">
        <v>481.5</v>
      </c>
      <c r="AS14" s="192">
        <v>348.4</v>
      </c>
      <c r="AT14" s="192">
        <v>445.4736842105263</v>
      </c>
      <c r="AU14" s="192">
        <v>452.5</v>
      </c>
      <c r="AV14" s="192">
        <v>535.12307692307695</v>
      </c>
      <c r="AW14" s="192">
        <v>318.72727272727275</v>
      </c>
      <c r="AX14" s="192">
        <v>638.47058823529414</v>
      </c>
      <c r="AY14" s="192">
        <v>456.50840336134456</v>
      </c>
      <c r="AZ14" s="192">
        <v>207</v>
      </c>
      <c r="BA14" s="192">
        <v>472.45513164965075</v>
      </c>
      <c r="BB14" s="182"/>
    </row>
    <row r="15" spans="1:54" s="23" customFormat="1" ht="47.4" thickBot="1" x14ac:dyDescent="0.35">
      <c r="A15" s="282"/>
      <c r="B15" s="215" t="s">
        <v>141</v>
      </c>
      <c r="C15" s="275" t="s">
        <v>128</v>
      </c>
      <c r="D15" s="275" t="s">
        <v>142</v>
      </c>
      <c r="E15" s="201" t="s">
        <v>143</v>
      </c>
      <c r="F15" s="276">
        <v>317</v>
      </c>
      <c r="G15" s="191" t="s">
        <v>133</v>
      </c>
      <c r="H15" s="191" t="s">
        <v>133</v>
      </c>
      <c r="I15" s="191" t="s">
        <v>133</v>
      </c>
      <c r="J15" s="191" t="s">
        <v>133</v>
      </c>
      <c r="K15" s="191" t="s">
        <v>133</v>
      </c>
      <c r="L15" s="191" t="s">
        <v>133</v>
      </c>
      <c r="M15" s="191" t="s">
        <v>133</v>
      </c>
      <c r="N15" s="191" t="s">
        <v>133</v>
      </c>
      <c r="O15" s="191" t="s">
        <v>133</v>
      </c>
      <c r="P15" s="276">
        <v>545.5</v>
      </c>
      <c r="Q15" s="168">
        <v>802.33333333333337</v>
      </c>
      <c r="R15" s="276">
        <v>497</v>
      </c>
      <c r="S15" s="191" t="s">
        <v>133</v>
      </c>
      <c r="T15" s="191" t="s">
        <v>133</v>
      </c>
      <c r="U15" s="276">
        <v>887</v>
      </c>
      <c r="V15" s="276">
        <v>1133</v>
      </c>
      <c r="W15" s="191" t="s">
        <v>133</v>
      </c>
      <c r="X15" s="276">
        <v>462.5</v>
      </c>
      <c r="Y15" s="191" t="s">
        <v>133</v>
      </c>
      <c r="Z15" s="191" t="s">
        <v>133</v>
      </c>
      <c r="AA15" s="276">
        <v>449</v>
      </c>
      <c r="AB15" s="191" t="s">
        <v>133</v>
      </c>
      <c r="AC15" s="191" t="s">
        <v>133</v>
      </c>
      <c r="AD15" s="276">
        <v>614</v>
      </c>
      <c r="AE15" s="191" t="s">
        <v>133</v>
      </c>
      <c r="AF15" s="170">
        <v>1636.5</v>
      </c>
      <c r="AG15" s="191" t="s">
        <v>133</v>
      </c>
      <c r="AH15" s="191" t="s">
        <v>133</v>
      </c>
      <c r="AI15" s="191" t="s">
        <v>133</v>
      </c>
      <c r="AJ15" s="191" t="s">
        <v>133</v>
      </c>
      <c r="AK15" s="276">
        <v>382</v>
      </c>
      <c r="AL15" s="276">
        <v>422</v>
      </c>
      <c r="AM15" s="191" t="s">
        <v>133</v>
      </c>
      <c r="AN15" s="276">
        <v>1267</v>
      </c>
      <c r="AO15" s="191" t="s">
        <v>133</v>
      </c>
      <c r="AP15" s="191" t="s">
        <v>133</v>
      </c>
      <c r="AQ15" s="191" t="s">
        <v>133</v>
      </c>
      <c r="AR15" s="276">
        <v>725</v>
      </c>
      <c r="AS15" s="191" t="s">
        <v>133</v>
      </c>
      <c r="AT15" s="191" t="s">
        <v>133</v>
      </c>
      <c r="AU15" s="191" t="s">
        <v>133</v>
      </c>
      <c r="AV15" s="170">
        <v>532.5</v>
      </c>
      <c r="AW15" s="191" t="s">
        <v>133</v>
      </c>
      <c r="AX15" s="174">
        <v>1172</v>
      </c>
      <c r="AY15" s="191" t="s">
        <v>133</v>
      </c>
      <c r="AZ15" s="191" t="s">
        <v>133</v>
      </c>
      <c r="BA15" s="170">
        <f>AVERAGE(F15:AZ15)</f>
        <v>740.27083333333337</v>
      </c>
    </row>
    <row r="16" spans="1:54" s="86" customFormat="1" ht="16.2" thickBot="1" x14ac:dyDescent="0.35">
      <c r="B16" s="197"/>
      <c r="E16" s="197"/>
    </row>
    <row r="17" spans="1:54" s="23" customFormat="1" ht="47.4" thickBot="1" x14ac:dyDescent="0.35">
      <c r="A17" s="280" t="s">
        <v>145</v>
      </c>
      <c r="B17" s="215" t="s">
        <v>146</v>
      </c>
      <c r="C17" s="90" t="s">
        <v>107</v>
      </c>
      <c r="D17" s="90" t="s">
        <v>147</v>
      </c>
      <c r="E17" s="201" t="s">
        <v>148</v>
      </c>
      <c r="F17" s="192">
        <v>161.25</v>
      </c>
      <c r="G17" s="192">
        <v>159.5</v>
      </c>
      <c r="H17" s="192">
        <v>115</v>
      </c>
      <c r="I17" s="192">
        <v>75.75</v>
      </c>
      <c r="J17" s="192">
        <v>100.75</v>
      </c>
      <c r="K17" s="192">
        <v>83.25</v>
      </c>
      <c r="L17" s="192">
        <v>14.5</v>
      </c>
      <c r="M17" s="192">
        <v>88.25</v>
      </c>
      <c r="N17" s="192">
        <v>179.25</v>
      </c>
      <c r="O17" s="192">
        <v>172.25</v>
      </c>
      <c r="P17" s="192">
        <v>152.5</v>
      </c>
      <c r="Q17" s="192">
        <v>99.25</v>
      </c>
      <c r="R17" s="192">
        <v>29.75</v>
      </c>
      <c r="S17" s="192">
        <v>116</v>
      </c>
      <c r="T17" s="192">
        <v>31.75</v>
      </c>
      <c r="U17" s="192">
        <v>92.25</v>
      </c>
      <c r="V17" s="192">
        <v>334.5</v>
      </c>
      <c r="W17" s="192">
        <v>359.25</v>
      </c>
      <c r="X17" s="192">
        <v>165.5</v>
      </c>
      <c r="Y17" s="192">
        <v>82.75</v>
      </c>
      <c r="Z17" s="192">
        <v>112</v>
      </c>
      <c r="AA17" s="192">
        <v>106.75</v>
      </c>
      <c r="AB17" s="192">
        <v>74.25</v>
      </c>
      <c r="AC17" s="192">
        <v>66</v>
      </c>
      <c r="AD17" s="192">
        <v>14</v>
      </c>
      <c r="AE17" s="192">
        <v>101.25</v>
      </c>
      <c r="AF17" s="192">
        <v>107.25</v>
      </c>
      <c r="AG17" s="192">
        <v>154</v>
      </c>
      <c r="AH17" s="192">
        <v>1</v>
      </c>
      <c r="AI17" s="192">
        <v>64.75</v>
      </c>
      <c r="AJ17" s="192">
        <v>42.5</v>
      </c>
      <c r="AK17" s="192">
        <v>156.75</v>
      </c>
      <c r="AL17" s="192">
        <v>184.5</v>
      </c>
      <c r="AM17" s="192">
        <v>74</v>
      </c>
      <c r="AN17" s="192">
        <v>51</v>
      </c>
      <c r="AO17" s="192">
        <v>112</v>
      </c>
      <c r="AP17" s="192">
        <v>92</v>
      </c>
      <c r="AQ17" s="192">
        <v>53.75</v>
      </c>
      <c r="AR17" s="192">
        <v>159.25</v>
      </c>
      <c r="AS17" s="192">
        <v>184.25</v>
      </c>
      <c r="AT17" s="192">
        <v>71.5</v>
      </c>
      <c r="AU17" s="192">
        <v>66</v>
      </c>
      <c r="AV17" s="192">
        <v>146.5</v>
      </c>
      <c r="AW17" s="192">
        <v>89.25</v>
      </c>
      <c r="AX17" s="192">
        <v>8.25</v>
      </c>
      <c r="AY17" s="192">
        <v>180.25</v>
      </c>
      <c r="AZ17" s="192">
        <v>1</v>
      </c>
      <c r="BA17" s="245">
        <f>SUM(F17:AZ17)</f>
        <v>5087.25</v>
      </c>
    </row>
    <row r="18" spans="1:54" s="23" customFormat="1" ht="47.4" thickBot="1" x14ac:dyDescent="0.35">
      <c r="A18" s="281"/>
      <c r="B18" s="215" t="s">
        <v>150</v>
      </c>
      <c r="C18" s="90" t="s">
        <v>107</v>
      </c>
      <c r="D18" s="90" t="s">
        <v>151</v>
      </c>
      <c r="E18" s="201" t="s">
        <v>152</v>
      </c>
      <c r="F18" s="234">
        <v>1.77286931818181</v>
      </c>
      <c r="G18" s="234">
        <v>1.75047348484848</v>
      </c>
      <c r="H18" s="234">
        <v>0.81619318181818101</v>
      </c>
      <c r="I18" s="234">
        <v>0.64938446969696895</v>
      </c>
      <c r="J18" s="234">
        <v>1.1344223484848399</v>
      </c>
      <c r="K18" s="234">
        <v>0.85748106060606</v>
      </c>
      <c r="L18" s="234">
        <v>0.18631628787878701</v>
      </c>
      <c r="M18" s="234">
        <v>0.84346590909090902</v>
      </c>
      <c r="N18" s="234">
        <v>2.2354166666666599</v>
      </c>
      <c r="O18" s="234">
        <v>2.3178030303030299</v>
      </c>
      <c r="P18" s="234">
        <v>1.81983901515151</v>
      </c>
      <c r="Q18" s="234">
        <v>1.12054924242424</v>
      </c>
      <c r="R18" s="234">
        <v>0.32391098484848402</v>
      </c>
      <c r="S18" s="234">
        <v>1.3265151515151501</v>
      </c>
      <c r="T18" s="234">
        <v>0.368229166666666</v>
      </c>
      <c r="U18" s="234">
        <v>1.23030303030303</v>
      </c>
      <c r="V18" s="234">
        <v>3.6125473484848398</v>
      </c>
      <c r="W18" s="234">
        <v>4.1331912878787804</v>
      </c>
      <c r="X18" s="234">
        <v>1.44957386363636</v>
      </c>
      <c r="Y18" s="234">
        <v>0.90643939399999995</v>
      </c>
      <c r="Z18" s="234">
        <v>1.4050662878787801</v>
      </c>
      <c r="AA18" s="234">
        <v>1.2091856060606001</v>
      </c>
      <c r="AB18" s="234">
        <v>0.72277462121212099</v>
      </c>
      <c r="AC18" s="234">
        <v>0.68295454545454504</v>
      </c>
      <c r="AD18" s="234">
        <v>0.159138257575757</v>
      </c>
      <c r="AE18" s="234">
        <v>1.09057765151515</v>
      </c>
      <c r="AF18" s="234">
        <v>1.5571496212121201</v>
      </c>
      <c r="AG18" s="234">
        <v>2.06264204545454</v>
      </c>
      <c r="AH18" s="234">
        <v>4.2613640000000001E-3</v>
      </c>
      <c r="AI18" s="234">
        <v>0.81605113636363602</v>
      </c>
      <c r="AJ18" s="234">
        <v>0.58158143939393903</v>
      </c>
      <c r="AK18" s="234">
        <v>2.1412405300000001</v>
      </c>
      <c r="AL18" s="234">
        <v>2.49696969696969</v>
      </c>
      <c r="AM18" s="234">
        <v>0.91084280303030296</v>
      </c>
      <c r="AN18" s="234">
        <v>0.41491477272727201</v>
      </c>
      <c r="AO18" s="234">
        <v>1.0211647727272699</v>
      </c>
      <c r="AP18" s="234">
        <v>0.93707386363636302</v>
      </c>
      <c r="AQ18" s="234">
        <v>1.16747159090909</v>
      </c>
      <c r="AR18" s="234">
        <v>1.1966382575757499</v>
      </c>
      <c r="AS18" s="234">
        <v>2.3233428030302998</v>
      </c>
      <c r="AT18" s="234">
        <v>0.763683712121212</v>
      </c>
      <c r="AU18" s="234">
        <v>0.80752840909090895</v>
      </c>
      <c r="AV18" s="234">
        <v>1.6783143939393901</v>
      </c>
      <c r="AW18" s="234">
        <v>1.08196022727272</v>
      </c>
      <c r="AX18" s="234">
        <v>0.109090909090909</v>
      </c>
      <c r="AY18" s="234">
        <v>2.2878314393939299</v>
      </c>
      <c r="AZ18" s="234">
        <v>2.6515150000000001E-3</v>
      </c>
      <c r="BA18" s="234">
        <f>SUM(F18:AZ18)</f>
        <v>58.487026515121045</v>
      </c>
    </row>
    <row r="19" spans="1:54" s="23" customFormat="1" ht="94.2" thickBot="1" x14ac:dyDescent="0.35">
      <c r="A19" s="281"/>
      <c r="B19" s="215" t="s">
        <v>154</v>
      </c>
      <c r="C19" s="90" t="s">
        <v>107</v>
      </c>
      <c r="D19" s="90" t="s">
        <v>155</v>
      </c>
      <c r="E19" s="201" t="s">
        <v>156</v>
      </c>
      <c r="F19" s="181">
        <v>1977862.24</v>
      </c>
      <c r="G19" s="181">
        <v>1936916.52</v>
      </c>
      <c r="H19" s="181">
        <v>1215638.4325000001</v>
      </c>
      <c r="I19" s="181">
        <v>1188471.5674999999</v>
      </c>
      <c r="J19" s="181">
        <v>1419924.12</v>
      </c>
      <c r="K19" s="181">
        <v>660280.76249999995</v>
      </c>
      <c r="L19" s="181">
        <v>129612.72500000001</v>
      </c>
      <c r="M19" s="181">
        <v>1210413.2150000001</v>
      </c>
      <c r="N19" s="181">
        <v>2420109.1375000002</v>
      </c>
      <c r="O19" s="181">
        <v>2808673.0750000002</v>
      </c>
      <c r="P19" s="181">
        <v>2536202.0175000001</v>
      </c>
      <c r="Q19" s="181">
        <v>870267.19750000001</v>
      </c>
      <c r="R19" s="181">
        <v>444176.88250000001</v>
      </c>
      <c r="S19" s="181">
        <v>1122203.92</v>
      </c>
      <c r="T19" s="181">
        <v>240916.11499999999</v>
      </c>
      <c r="U19" s="181">
        <v>1189909.24</v>
      </c>
      <c r="V19" s="181">
        <v>4855195.7350000003</v>
      </c>
      <c r="W19" s="181">
        <v>6331566.4625000004</v>
      </c>
      <c r="X19" s="181">
        <v>2093182.7675000001</v>
      </c>
      <c r="Y19" s="181">
        <v>866755.16500000004</v>
      </c>
      <c r="Z19" s="181">
        <v>1745771.8975</v>
      </c>
      <c r="AA19" s="181">
        <v>2000668.125</v>
      </c>
      <c r="AB19" s="181">
        <v>857088.25</v>
      </c>
      <c r="AC19" s="181">
        <v>681701.66749999998</v>
      </c>
      <c r="AD19" s="181">
        <v>195712.39249999999</v>
      </c>
      <c r="AE19" s="181">
        <v>2532868.4224999999</v>
      </c>
      <c r="AF19" s="181">
        <v>1135506.7250000001</v>
      </c>
      <c r="AG19" s="181">
        <v>2675283.0750000002</v>
      </c>
      <c r="AH19" s="181">
        <v>1511.9425000000001</v>
      </c>
      <c r="AI19" s="181">
        <v>798297.6875</v>
      </c>
      <c r="AJ19" s="181">
        <v>550133.03</v>
      </c>
      <c r="AK19" s="181">
        <v>1649326.79</v>
      </c>
      <c r="AL19" s="181">
        <v>1700950.4175</v>
      </c>
      <c r="AM19" s="181">
        <v>1290141.1225000001</v>
      </c>
      <c r="AN19" s="181">
        <v>662859.15249999997</v>
      </c>
      <c r="AO19" s="181">
        <v>1535350.3674999999</v>
      </c>
      <c r="AP19" s="181">
        <v>1978813.6425000001</v>
      </c>
      <c r="AQ19" s="181">
        <v>1147282.9650000001</v>
      </c>
      <c r="AR19" s="181">
        <v>1580002.8825000001</v>
      </c>
      <c r="AS19" s="181">
        <v>2511951.9275000002</v>
      </c>
      <c r="AT19" s="181">
        <v>965151.62749999994</v>
      </c>
      <c r="AU19" s="181">
        <v>1240305.2775000001</v>
      </c>
      <c r="AV19" s="181">
        <v>1642360.0249999999</v>
      </c>
      <c r="AW19" s="181">
        <v>1294185.8149999999</v>
      </c>
      <c r="AX19" s="181">
        <v>52945.082499999997</v>
      </c>
      <c r="AY19" s="181">
        <v>1826089.3825000001</v>
      </c>
      <c r="AZ19" s="181">
        <v>7577.7049999999999</v>
      </c>
      <c r="BA19" s="181">
        <v>69778114.694999993</v>
      </c>
    </row>
    <row r="20" spans="1:54" s="23" customFormat="1" ht="47.4" thickBot="1" x14ac:dyDescent="0.35">
      <c r="A20" s="281"/>
      <c r="B20" s="215" t="s">
        <v>158</v>
      </c>
      <c r="C20" s="90" t="s">
        <v>107</v>
      </c>
      <c r="D20" s="93" t="s">
        <v>159</v>
      </c>
      <c r="E20" s="201" t="s">
        <v>160</v>
      </c>
      <c r="F20" s="181">
        <v>122.04761904761905</v>
      </c>
      <c r="G20" s="181">
        <v>127.66541353383458</v>
      </c>
      <c r="H20" s="181">
        <v>206.69463087248323</v>
      </c>
      <c r="I20" s="181">
        <v>162.23222748815166</v>
      </c>
      <c r="J20" s="181">
        <v>79.916666666666671</v>
      </c>
      <c r="K20" s="181">
        <v>63.022522522522522</v>
      </c>
      <c r="L20" s="181">
        <v>49.9375</v>
      </c>
      <c r="M20" s="181">
        <v>183.18039215686275</v>
      </c>
      <c r="N20" s="181">
        <v>72.290215588723058</v>
      </c>
      <c r="O20" s="181">
        <v>67.468965517241372</v>
      </c>
      <c r="P20" s="181">
        <v>76.176237623762376</v>
      </c>
      <c r="Q20" s="181">
        <v>72.333333333333329</v>
      </c>
      <c r="R20" s="181">
        <v>85.314285714285717</v>
      </c>
      <c r="S20" s="181">
        <v>114.33333333333333</v>
      </c>
      <c r="T20" s="181">
        <v>118.56363636363636</v>
      </c>
      <c r="U20" s="181">
        <v>107.13058419243987</v>
      </c>
      <c r="V20" s="181">
        <v>193.13378684807256</v>
      </c>
      <c r="W20" s="181">
        <v>101.26864406779661</v>
      </c>
      <c r="X20" s="181">
        <v>161.97158081705152</v>
      </c>
      <c r="Y20" s="181">
        <v>131.40650406504065</v>
      </c>
      <c r="Z20" s="181">
        <v>72.791011235955054</v>
      </c>
      <c r="AA20" s="181">
        <v>126.5774647887324</v>
      </c>
      <c r="AB20" s="181">
        <v>249.11728395061729</v>
      </c>
      <c r="AC20" s="181">
        <v>73.888297872340431</v>
      </c>
      <c r="AD20" s="181">
        <v>57.21153846153846</v>
      </c>
      <c r="AE20" s="181">
        <v>54.973684210526315</v>
      </c>
      <c r="AF20" s="181">
        <v>115.74269005847954</v>
      </c>
      <c r="AG20" s="181">
        <v>117.22330097087378</v>
      </c>
      <c r="AH20" s="181">
        <v>2</v>
      </c>
      <c r="AI20" s="181">
        <v>130.7070707070707</v>
      </c>
      <c r="AJ20" s="181">
        <v>119.21333333333334</v>
      </c>
      <c r="AK20" s="181">
        <v>58.983271375464682</v>
      </c>
      <c r="AL20" s="181">
        <v>63.951181102362206</v>
      </c>
      <c r="AM20" s="181">
        <v>79.689795918367352</v>
      </c>
      <c r="AN20" s="181">
        <v>176.71153846153845</v>
      </c>
      <c r="AO20" s="181">
        <v>181.96941896024464</v>
      </c>
      <c r="AP20" s="181">
        <v>96.224719101123597</v>
      </c>
      <c r="AQ20" s="181">
        <v>70.827380952380949</v>
      </c>
      <c r="AR20" s="181">
        <v>128.97118644067797</v>
      </c>
      <c r="AS20" s="181">
        <v>84.420967741935485</v>
      </c>
      <c r="AT20" s="181">
        <v>48.096330275229356</v>
      </c>
      <c r="AU20" s="181">
        <v>47.19</v>
      </c>
      <c r="AV20" s="181">
        <v>47.111597374179432</v>
      </c>
      <c r="AW20" s="181">
        <v>104.31629392971246</v>
      </c>
      <c r="AX20" s="181">
        <v>49.230769230769234</v>
      </c>
      <c r="AY20" s="181">
        <v>89.479406919275121</v>
      </c>
      <c r="AZ20" s="181">
        <v>32.4</v>
      </c>
      <c r="BA20" s="181">
        <v>106.99680805352649</v>
      </c>
    </row>
    <row r="21" spans="1:54" s="23" customFormat="1" ht="47.4" thickBot="1" x14ac:dyDescent="0.35">
      <c r="A21" s="282"/>
      <c r="B21" s="215" t="s">
        <v>162</v>
      </c>
      <c r="C21" s="90" t="s">
        <v>107</v>
      </c>
      <c r="D21" s="90" t="s">
        <v>163</v>
      </c>
      <c r="E21" s="201" t="s">
        <v>164</v>
      </c>
      <c r="F21" s="181">
        <v>187.35823429541597</v>
      </c>
      <c r="G21" s="181">
        <v>192.95</v>
      </c>
      <c r="H21" s="181">
        <v>209.11032028469751</v>
      </c>
      <c r="I21" s="181">
        <v>187.46218487394958</v>
      </c>
      <c r="J21" s="181">
        <v>184.53524804177545</v>
      </c>
      <c r="K21" s="181">
        <v>197.33734939759037</v>
      </c>
      <c r="L21" s="181">
        <v>148.72549019607843</v>
      </c>
      <c r="M21" s="181">
        <v>229.5583596214511</v>
      </c>
      <c r="N21" s="181">
        <v>203.03918495297805</v>
      </c>
      <c r="O21" s="181">
        <v>216.51374207188161</v>
      </c>
      <c r="P21" s="181">
        <v>170.67901234567901</v>
      </c>
      <c r="Q21" s="181">
        <v>187.24653739612188</v>
      </c>
      <c r="R21" s="181">
        <v>130.14912280701753</v>
      </c>
      <c r="S21" s="181">
        <v>214.28974358974358</v>
      </c>
      <c r="T21" s="181">
        <v>193.86524822695034</v>
      </c>
      <c r="U21" s="181">
        <v>182.30456852791878</v>
      </c>
      <c r="V21" s="181">
        <v>243.56666666666666</v>
      </c>
      <c r="W21" s="181">
        <v>200.48164794007491</v>
      </c>
      <c r="X21" s="181">
        <v>171.58022690437602</v>
      </c>
      <c r="Y21" s="181">
        <v>222.54225352112675</v>
      </c>
      <c r="Z21" s="181">
        <v>226.27672955974842</v>
      </c>
      <c r="AA21" s="181">
        <v>181.17837837837837</v>
      </c>
      <c r="AB21" s="181">
        <v>223.69950738916256</v>
      </c>
      <c r="AC21" s="181">
        <v>151.58115183246073</v>
      </c>
      <c r="AD21" s="181">
        <v>126.98701298701299</v>
      </c>
      <c r="AE21" s="181">
        <v>185.17784256559767</v>
      </c>
      <c r="AF21" s="181">
        <v>190.75151515151515</v>
      </c>
      <c r="AG21" s="181">
        <v>192.68736141906874</v>
      </c>
      <c r="AH21" s="181">
        <v>63</v>
      </c>
      <c r="AI21" s="181">
        <v>157.99604743083003</v>
      </c>
      <c r="AJ21" s="181">
        <v>191.6883116883117</v>
      </c>
      <c r="AK21" s="181">
        <v>181.16756756756757</v>
      </c>
      <c r="AL21" s="181">
        <v>164.21509009009009</v>
      </c>
      <c r="AM21" s="181">
        <v>159.40604026845637</v>
      </c>
      <c r="AN21" s="181">
        <v>167.05917159763314</v>
      </c>
      <c r="AO21" s="181">
        <v>231.22525597269623</v>
      </c>
      <c r="AP21" s="181">
        <v>212.33096085409252</v>
      </c>
      <c r="AQ21" s="181">
        <v>167.05487804878049</v>
      </c>
      <c r="AR21" s="181">
        <v>163.6705685618729</v>
      </c>
      <c r="AS21" s="181">
        <v>178.22782608695653</v>
      </c>
      <c r="AT21" s="181">
        <v>163.72888888888889</v>
      </c>
      <c r="AU21" s="181">
        <v>199.03669724770643</v>
      </c>
      <c r="AV21" s="181">
        <v>143.69326241134752</v>
      </c>
      <c r="AW21" s="181">
        <v>264.3964912280702</v>
      </c>
      <c r="AX21" s="181">
        <v>219.1875</v>
      </c>
      <c r="AY21" s="181">
        <v>184.93457943925233</v>
      </c>
      <c r="AZ21" s="181">
        <v>124</v>
      </c>
      <c r="BA21" s="181">
        <v>189.91048532055123</v>
      </c>
    </row>
    <row r="22" spans="1:54" s="23" customFormat="1" ht="16.2" thickBot="1" x14ac:dyDescent="0.35">
      <c r="B22" s="203"/>
      <c r="C22" s="38"/>
      <c r="D22" s="38"/>
      <c r="E22" s="203"/>
      <c r="F22" s="38"/>
      <c r="G22" s="38"/>
      <c r="H22" s="38"/>
      <c r="I22" s="38"/>
      <c r="J22" s="38"/>
      <c r="K22" s="38"/>
      <c r="L22" s="38"/>
      <c r="M22" s="38"/>
      <c r="N22" s="38"/>
      <c r="O22" s="38"/>
      <c r="P22" s="38"/>
      <c r="Q22" s="38"/>
      <c r="R22" s="38"/>
      <c r="S22" s="38"/>
      <c r="T22" s="38"/>
      <c r="U22" s="38"/>
      <c r="V22" s="38"/>
      <c r="W22" s="38"/>
      <c r="X22" s="38"/>
      <c r="Y22" s="38"/>
      <c r="Z22" s="38"/>
      <c r="AA22" s="38"/>
      <c r="AB22" s="38"/>
      <c r="AC22" s="38"/>
      <c r="AD22" s="38"/>
      <c r="AE22" s="38"/>
      <c r="AF22" s="38"/>
      <c r="AG22" s="38"/>
      <c r="AH22" s="38"/>
      <c r="AI22" s="38"/>
      <c r="AJ22" s="38"/>
      <c r="AK22" s="38"/>
      <c r="AL22" s="38"/>
      <c r="AM22" s="38"/>
      <c r="AN22" s="38"/>
      <c r="AO22" s="38"/>
      <c r="AP22" s="38"/>
      <c r="AQ22" s="38"/>
      <c r="AR22" s="38"/>
      <c r="AS22" s="38"/>
      <c r="AT22" s="38"/>
      <c r="AU22" s="38"/>
      <c r="AV22" s="38"/>
      <c r="AW22" s="38"/>
      <c r="AX22" s="38"/>
      <c r="AY22" s="38"/>
      <c r="AZ22" s="38"/>
      <c r="BA22" s="38"/>
    </row>
    <row r="23" spans="1:54" s="23" customFormat="1" ht="47.4" thickBot="1" x14ac:dyDescent="0.35">
      <c r="A23" s="280" t="s">
        <v>166</v>
      </c>
      <c r="B23" s="215" t="s">
        <v>124</v>
      </c>
      <c r="C23" s="90" t="s">
        <v>112</v>
      </c>
      <c r="D23" s="90" t="s">
        <v>167</v>
      </c>
      <c r="E23" s="201" t="s">
        <v>168</v>
      </c>
      <c r="F23" s="181">
        <f t="shared" ref="F23:BA23" si="6">F29/F27</f>
        <v>3024237.7411479643</v>
      </c>
      <c r="G23" s="181">
        <f t="shared" si="6"/>
        <v>3504090.1438791151</v>
      </c>
      <c r="H23" s="181">
        <f t="shared" si="6"/>
        <v>2238016.1601362657</v>
      </c>
      <c r="I23" s="181">
        <f t="shared" si="6"/>
        <v>2875875.0610892014</v>
      </c>
      <c r="J23" s="181">
        <f t="shared" si="6"/>
        <v>3089157.5148695898</v>
      </c>
      <c r="K23" s="181">
        <f t="shared" si="6"/>
        <v>1658879.7799426934</v>
      </c>
      <c r="L23" s="181">
        <f t="shared" si="6"/>
        <v>835980.56996148976</v>
      </c>
      <c r="M23" s="181">
        <f t="shared" si="6"/>
        <v>5186898.8082288085</v>
      </c>
      <c r="N23" s="181">
        <f t="shared" si="6"/>
        <v>4169264.8845664989</v>
      </c>
      <c r="O23" s="181">
        <f t="shared" si="6"/>
        <v>3946364.6287733531</v>
      </c>
      <c r="P23" s="181">
        <f t="shared" si="6"/>
        <v>1295209.3137746067</v>
      </c>
      <c r="Q23" s="181">
        <f t="shared" si="6"/>
        <v>2936393.7582567218</v>
      </c>
      <c r="R23" s="181">
        <f t="shared" si="6"/>
        <v>2895223.7109967279</v>
      </c>
      <c r="S23" s="181">
        <f t="shared" si="6"/>
        <v>4939317.639806076</v>
      </c>
      <c r="T23" s="181">
        <f t="shared" si="6"/>
        <v>1176764.0785270932</v>
      </c>
      <c r="U23" s="181">
        <f t="shared" si="6"/>
        <v>2176565.458401016</v>
      </c>
      <c r="V23" s="181">
        <f t="shared" si="6"/>
        <v>2616748.3118008482</v>
      </c>
      <c r="W23" s="181">
        <f t="shared" si="6"/>
        <v>6925587.7779032681</v>
      </c>
      <c r="X23" s="181">
        <f t="shared" si="6"/>
        <v>4414273.2864777353</v>
      </c>
      <c r="Y23" s="181">
        <f t="shared" si="6"/>
        <v>3138767.7571984478</v>
      </c>
      <c r="Z23" s="181">
        <f t="shared" si="6"/>
        <v>3050695.13873294</v>
      </c>
      <c r="AA23" s="181">
        <f t="shared" si="6"/>
        <v>4413702.4589723647</v>
      </c>
      <c r="AB23" s="181">
        <f t="shared" si="6"/>
        <v>2475210.2073731171</v>
      </c>
      <c r="AC23" s="181">
        <f t="shared" si="6"/>
        <v>3206069.4656826621</v>
      </c>
      <c r="AD23" s="181">
        <f t="shared" si="6"/>
        <v>2655867.3222192489</v>
      </c>
      <c r="AE23" s="181">
        <f t="shared" si="6"/>
        <v>3011759.2281675949</v>
      </c>
      <c r="AF23" s="181">
        <f t="shared" si="6"/>
        <v>1825435.9672138419</v>
      </c>
      <c r="AG23" s="181">
        <f t="shared" si="6"/>
        <v>3580386.044902388</v>
      </c>
      <c r="AH23" s="181" t="e">
        <f t="shared" si="6"/>
        <v>#DIV/0!</v>
      </c>
      <c r="AI23" s="181">
        <f t="shared" si="6"/>
        <v>1428389.5437739214</v>
      </c>
      <c r="AJ23" s="181">
        <f t="shared" si="6"/>
        <v>2371085.109937021</v>
      </c>
      <c r="AK23" s="181">
        <f t="shared" si="6"/>
        <v>2247205.0917055374</v>
      </c>
      <c r="AL23" s="181">
        <f t="shared" si="6"/>
        <v>5353420.0292895818</v>
      </c>
      <c r="AM23" s="181">
        <f t="shared" si="6"/>
        <v>2987870.7435155059</v>
      </c>
      <c r="AN23" s="181">
        <f t="shared" si="6"/>
        <v>4815328.8804032141</v>
      </c>
      <c r="AO23" s="181">
        <f t="shared" si="6"/>
        <v>2502463.2418295839</v>
      </c>
      <c r="AP23" s="181">
        <f t="shared" si="6"/>
        <v>2378982.2718509915</v>
      </c>
      <c r="AQ23" s="181">
        <f t="shared" si="6"/>
        <v>3206149.3961538575</v>
      </c>
      <c r="AR23" s="181">
        <f t="shared" si="6"/>
        <v>2824219.4316918603</v>
      </c>
      <c r="AS23" s="181">
        <f t="shared" si="6"/>
        <v>3034616.1381183346</v>
      </c>
      <c r="AT23" s="181">
        <f t="shared" si="6"/>
        <v>3960494.1580823003</v>
      </c>
      <c r="AU23" s="181">
        <f t="shared" si="6"/>
        <v>4335162.4424475133</v>
      </c>
      <c r="AV23" s="181">
        <f t="shared" si="6"/>
        <v>3182278.058155064</v>
      </c>
      <c r="AW23" s="181">
        <f t="shared" si="6"/>
        <v>3073472.5300651141</v>
      </c>
      <c r="AX23" s="181">
        <f t="shared" si="6"/>
        <v>914271.02041076962</v>
      </c>
      <c r="AY23" s="181">
        <f t="shared" si="6"/>
        <v>2147137.0114819696</v>
      </c>
      <c r="AZ23" s="181">
        <f t="shared" si="6"/>
        <v>5980698.6570915636</v>
      </c>
      <c r="BA23" s="181">
        <f t="shared" si="6"/>
        <v>2505980.4954632944</v>
      </c>
      <c r="BB23" s="182"/>
    </row>
    <row r="24" spans="1:54" s="23" customFormat="1" ht="47.4" thickBot="1" x14ac:dyDescent="0.35">
      <c r="A24" s="281"/>
      <c r="B24" s="216" t="s">
        <v>170</v>
      </c>
      <c r="C24" s="5" t="s">
        <v>112</v>
      </c>
      <c r="D24" s="5" t="s">
        <v>171</v>
      </c>
      <c r="E24" s="199" t="s">
        <v>805</v>
      </c>
      <c r="F24" s="236">
        <f>F26/F25</f>
        <v>15.444444444444445</v>
      </c>
      <c r="G24" s="236">
        <f t="shared" ref="G24:BA24" si="7">G26/G25</f>
        <v>22.857142857142858</v>
      </c>
      <c r="H24" s="236">
        <f t="shared" si="7"/>
        <v>25.575757575757574</v>
      </c>
      <c r="I24" s="236">
        <f t="shared" si="7"/>
        <v>21.55</v>
      </c>
      <c r="J24" s="236">
        <f t="shared" si="7"/>
        <v>21.74074074074074</v>
      </c>
      <c r="K24" s="236">
        <f t="shared" si="7"/>
        <v>11.333333333333334</v>
      </c>
      <c r="L24" s="236">
        <f t="shared" si="7"/>
        <v>2.7142857142857144</v>
      </c>
      <c r="M24" s="236">
        <f t="shared" si="7"/>
        <v>17.333333333333332</v>
      </c>
      <c r="N24" s="236">
        <f t="shared" si="7"/>
        <v>11.598484848484848</v>
      </c>
      <c r="O24" s="236">
        <f t="shared" si="7"/>
        <v>13.5625</v>
      </c>
      <c r="P24" s="236">
        <f t="shared" si="7"/>
        <v>21.574468085106382</v>
      </c>
      <c r="Q24" s="236">
        <f t="shared" si="7"/>
        <v>20.743243243243242</v>
      </c>
      <c r="R24" s="236">
        <f t="shared" si="7"/>
        <v>9.6470588235294112</v>
      </c>
      <c r="S24" s="236">
        <f t="shared" si="7"/>
        <v>17.761904761904763</v>
      </c>
      <c r="T24" s="236">
        <f t="shared" si="7"/>
        <v>22.441176470588236</v>
      </c>
      <c r="U24" s="236">
        <f t="shared" si="7"/>
        <v>26.260162601626018</v>
      </c>
      <c r="V24" s="236">
        <f t="shared" si="7"/>
        <v>26.761904761904763</v>
      </c>
      <c r="W24" s="236">
        <f t="shared" si="7"/>
        <v>3.8840262582056893</v>
      </c>
      <c r="X24" s="236">
        <f t="shared" si="7"/>
        <v>15.368421052631579</v>
      </c>
      <c r="Y24" s="236">
        <f t="shared" si="7"/>
        <v>10.375</v>
      </c>
      <c r="Z24" s="236">
        <f t="shared" si="7"/>
        <v>15.541666666666666</v>
      </c>
      <c r="AA24" s="236">
        <f t="shared" si="7"/>
        <v>10.857142857142859</v>
      </c>
      <c r="AB24" s="236">
        <f t="shared" si="7"/>
        <v>24.793103448275861</v>
      </c>
      <c r="AC24" s="236">
        <f t="shared" si="7"/>
        <v>20.555555555555557</v>
      </c>
      <c r="AD24" s="236">
        <f t="shared" si="7"/>
        <v>12.96875</v>
      </c>
      <c r="AE24" s="236">
        <f t="shared" si="7"/>
        <v>23.264705882352942</v>
      </c>
      <c r="AF24" s="236">
        <f t="shared" si="7"/>
        <v>31.573333333333334</v>
      </c>
      <c r="AG24" s="236">
        <f t="shared" si="7"/>
        <v>7.7230769230769232</v>
      </c>
      <c r="AH24" s="236" t="e">
        <f t="shared" si="7"/>
        <v>#DIV/0!</v>
      </c>
      <c r="AI24" s="236">
        <f t="shared" si="7"/>
        <v>12.136363636363637</v>
      </c>
      <c r="AJ24" s="236">
        <f t="shared" si="7"/>
        <v>5.4</v>
      </c>
      <c r="AK24" s="236">
        <f t="shared" si="7"/>
        <v>12.607142857142858</v>
      </c>
      <c r="AL24" s="236">
        <f t="shared" si="7"/>
        <v>3.82421875</v>
      </c>
      <c r="AM24" s="236">
        <f t="shared" si="7"/>
        <v>14.277777777777779</v>
      </c>
      <c r="AN24" s="236">
        <f t="shared" si="7"/>
        <v>19.090909090909125</v>
      </c>
      <c r="AO24" s="236">
        <f t="shared" si="7"/>
        <v>27.956521739130434</v>
      </c>
      <c r="AP24" s="236">
        <f t="shared" si="7"/>
        <v>15</v>
      </c>
      <c r="AQ24" s="236">
        <f t="shared" si="7"/>
        <v>2.7142857142857144</v>
      </c>
      <c r="AR24" s="236">
        <f t="shared" si="7"/>
        <v>7</v>
      </c>
      <c r="AS24" s="236">
        <f t="shared" si="7"/>
        <v>20.5</v>
      </c>
      <c r="AT24" s="236">
        <f t="shared" si="7"/>
        <v>30.724137931034484</v>
      </c>
      <c r="AU24" s="236">
        <f t="shared" si="7"/>
        <v>4.2352941176470589</v>
      </c>
      <c r="AV24" s="236">
        <f t="shared" si="7"/>
        <v>3.6</v>
      </c>
      <c r="AW24" s="236">
        <f t="shared" si="7"/>
        <v>10.722222222222221</v>
      </c>
      <c r="AX24" s="236">
        <f>AX26/AX25</f>
        <v>17.52777777777775</v>
      </c>
      <c r="AY24" s="236">
        <f>AY26/AY25</f>
        <v>36.568493150684844</v>
      </c>
      <c r="AZ24" s="236">
        <f>AZ26/AZ25</f>
        <v>10.75</v>
      </c>
      <c r="BA24" s="236">
        <f t="shared" si="7"/>
        <v>15.033603457590484</v>
      </c>
      <c r="BB24" s="182"/>
    </row>
    <row r="25" spans="1:54" s="23" customFormat="1" ht="47.4" thickBot="1" x14ac:dyDescent="0.35">
      <c r="A25" s="281"/>
      <c r="B25" s="216" t="s">
        <v>174</v>
      </c>
      <c r="C25" s="5" t="s">
        <v>112</v>
      </c>
      <c r="D25" s="5" t="s">
        <v>175</v>
      </c>
      <c r="E25" s="199" t="s">
        <v>176</v>
      </c>
      <c r="F25" s="236">
        <v>4.5</v>
      </c>
      <c r="G25" s="236">
        <v>7</v>
      </c>
      <c r="H25" s="236">
        <v>16.5</v>
      </c>
      <c r="I25" s="236">
        <v>5</v>
      </c>
      <c r="J25" s="236">
        <v>13.5</v>
      </c>
      <c r="K25" s="236">
        <v>15</v>
      </c>
      <c r="L25" s="236">
        <v>3.5</v>
      </c>
      <c r="M25" s="236">
        <v>5.25</v>
      </c>
      <c r="N25" s="236">
        <v>33</v>
      </c>
      <c r="O25" s="236">
        <v>4</v>
      </c>
      <c r="P25" s="236">
        <v>23.5</v>
      </c>
      <c r="Q25" s="236">
        <v>18.5</v>
      </c>
      <c r="R25" s="236">
        <v>4.25</v>
      </c>
      <c r="S25" s="236">
        <v>5.25</v>
      </c>
      <c r="T25" s="236">
        <v>17</v>
      </c>
      <c r="U25" s="236">
        <v>30.75</v>
      </c>
      <c r="V25" s="236">
        <v>21</v>
      </c>
      <c r="W25" s="236">
        <v>114.25</v>
      </c>
      <c r="X25" s="236">
        <v>4.75</v>
      </c>
      <c r="Y25" s="236">
        <v>4</v>
      </c>
      <c r="Z25" s="236">
        <v>12</v>
      </c>
      <c r="AA25" s="236">
        <v>4.6666666666666599</v>
      </c>
      <c r="AB25" s="236">
        <v>21.75</v>
      </c>
      <c r="AC25" s="236">
        <v>6.75</v>
      </c>
      <c r="AD25" s="236">
        <v>8</v>
      </c>
      <c r="AE25" s="236">
        <v>8.5</v>
      </c>
      <c r="AF25" s="236">
        <v>37.5</v>
      </c>
      <c r="AG25" s="236">
        <v>16.25</v>
      </c>
      <c r="AH25" s="236"/>
      <c r="AI25" s="236">
        <v>16.5</v>
      </c>
      <c r="AJ25" s="236">
        <v>1.25</v>
      </c>
      <c r="AK25" s="236">
        <v>7</v>
      </c>
      <c r="AL25" s="236">
        <v>128</v>
      </c>
      <c r="AM25" s="236">
        <v>13.5</v>
      </c>
      <c r="AN25" s="236">
        <v>3.6666666666666599</v>
      </c>
      <c r="AO25" s="236">
        <v>11.5</v>
      </c>
      <c r="AP25" s="236">
        <v>5.5</v>
      </c>
      <c r="AQ25" s="236">
        <v>3.5</v>
      </c>
      <c r="AR25" s="236">
        <v>5</v>
      </c>
      <c r="AS25" s="236">
        <v>3</v>
      </c>
      <c r="AT25" s="236">
        <v>7.25</v>
      </c>
      <c r="AU25" s="236">
        <v>4.25</v>
      </c>
      <c r="AV25" s="236">
        <v>26.25</v>
      </c>
      <c r="AW25" s="236">
        <v>4.5</v>
      </c>
      <c r="AX25" s="236">
        <v>12</v>
      </c>
      <c r="AY25" s="236">
        <v>48.6666666666666</v>
      </c>
      <c r="AZ25" s="236">
        <v>4</v>
      </c>
      <c r="BA25" s="236">
        <f>SUM(F25:AZ25)</f>
        <v>771.25</v>
      </c>
      <c r="BB25" s="182"/>
    </row>
    <row r="26" spans="1:54" s="23" customFormat="1" ht="47.4" thickBot="1" x14ac:dyDescent="0.35">
      <c r="A26" s="281"/>
      <c r="B26" s="217" t="s">
        <v>178</v>
      </c>
      <c r="C26" s="5" t="s">
        <v>112</v>
      </c>
      <c r="D26" s="5" t="s">
        <v>179</v>
      </c>
      <c r="E26" s="199" t="s">
        <v>180</v>
      </c>
      <c r="F26" s="236">
        <v>69.5</v>
      </c>
      <c r="G26" s="236">
        <v>160</v>
      </c>
      <c r="H26" s="236">
        <v>422</v>
      </c>
      <c r="I26" s="236">
        <v>107.75</v>
      </c>
      <c r="J26" s="236">
        <v>293.5</v>
      </c>
      <c r="K26" s="236">
        <v>170</v>
      </c>
      <c r="L26" s="236">
        <v>9.5</v>
      </c>
      <c r="M26" s="236">
        <v>91</v>
      </c>
      <c r="N26" s="236">
        <v>382.75</v>
      </c>
      <c r="O26" s="236">
        <v>54.25</v>
      </c>
      <c r="P26" s="236">
        <v>507</v>
      </c>
      <c r="Q26" s="236">
        <v>383.75</v>
      </c>
      <c r="R26" s="236">
        <v>41</v>
      </c>
      <c r="S26" s="236">
        <v>93.25</v>
      </c>
      <c r="T26" s="236">
        <v>381.5</v>
      </c>
      <c r="U26" s="236">
        <v>807.5</v>
      </c>
      <c r="V26" s="236">
        <v>562</v>
      </c>
      <c r="W26" s="236">
        <v>443.75</v>
      </c>
      <c r="X26" s="236">
        <v>73</v>
      </c>
      <c r="Y26" s="236">
        <v>41.5</v>
      </c>
      <c r="Z26" s="236">
        <v>186.5</v>
      </c>
      <c r="AA26" s="236">
        <v>50.6666666666666</v>
      </c>
      <c r="AB26" s="236">
        <v>539.25</v>
      </c>
      <c r="AC26" s="236">
        <v>138.75</v>
      </c>
      <c r="AD26" s="236">
        <v>103.75</v>
      </c>
      <c r="AE26" s="236">
        <v>197.75</v>
      </c>
      <c r="AF26" s="236">
        <v>1184</v>
      </c>
      <c r="AG26" s="236">
        <v>125.5</v>
      </c>
      <c r="AH26" s="236"/>
      <c r="AI26" s="236">
        <v>200.25</v>
      </c>
      <c r="AJ26" s="236">
        <v>6.75</v>
      </c>
      <c r="AK26" s="236">
        <v>88.25</v>
      </c>
      <c r="AL26" s="236">
        <v>489.5</v>
      </c>
      <c r="AM26" s="236">
        <v>192.75</v>
      </c>
      <c r="AN26" s="236">
        <v>70</v>
      </c>
      <c r="AO26" s="236">
        <v>321.5</v>
      </c>
      <c r="AP26" s="236">
        <v>82.5</v>
      </c>
      <c r="AQ26" s="236">
        <v>9.5</v>
      </c>
      <c r="AR26" s="236">
        <v>35</v>
      </c>
      <c r="AS26" s="236">
        <v>61.5</v>
      </c>
      <c r="AT26" s="236">
        <v>222.75</v>
      </c>
      <c r="AU26" s="236">
        <v>18</v>
      </c>
      <c r="AV26" s="236">
        <v>94.5</v>
      </c>
      <c r="AW26" s="236">
        <v>48.25</v>
      </c>
      <c r="AX26" s="236">
        <v>210.333333333333</v>
      </c>
      <c r="AY26" s="236">
        <v>1779.6666666666599</v>
      </c>
      <c r="AZ26" s="236">
        <v>43</v>
      </c>
      <c r="BA26" s="236">
        <f>SUM(F26:AZ26)</f>
        <v>11594.666666666661</v>
      </c>
      <c r="BB26" s="182"/>
    </row>
    <row r="27" spans="1:54" s="23" customFormat="1" ht="47.4" thickBot="1" x14ac:dyDescent="0.35">
      <c r="A27" s="281"/>
      <c r="B27" s="217" t="s">
        <v>182</v>
      </c>
      <c r="C27" s="5" t="s">
        <v>112</v>
      </c>
      <c r="D27" s="5" t="s">
        <v>183</v>
      </c>
      <c r="E27" s="199" t="s">
        <v>184</v>
      </c>
      <c r="F27" s="236">
        <v>0.93792613636363598</v>
      </c>
      <c r="G27" s="236">
        <v>1.39124053030303</v>
      </c>
      <c r="H27" s="236">
        <v>4.3920928030302999</v>
      </c>
      <c r="I27" s="236">
        <v>1.01983901515151</v>
      </c>
      <c r="J27" s="236">
        <v>2.6830492424242398</v>
      </c>
      <c r="K27" s="236">
        <v>2.1812499999999999</v>
      </c>
      <c r="L27" s="236">
        <v>0.110653409090909</v>
      </c>
      <c r="M27" s="236">
        <v>0.56619318181818101</v>
      </c>
      <c r="N27" s="236">
        <v>2.4362215909090899</v>
      </c>
      <c r="O27" s="236">
        <v>0.56278409090908998</v>
      </c>
      <c r="P27" s="236">
        <v>11.169412878787799</v>
      </c>
      <c r="Q27" s="236">
        <v>2.28148674242424</v>
      </c>
      <c r="R27" s="236">
        <v>0.40473484848484798</v>
      </c>
      <c r="S27" s="236">
        <v>0.742234848484848</v>
      </c>
      <c r="T27" s="236">
        <v>4.0504261363636296</v>
      </c>
      <c r="U27" s="236">
        <v>7.1298768939393904</v>
      </c>
      <c r="V27" s="236">
        <v>3.9998579545454498</v>
      </c>
      <c r="W27" s="236">
        <v>2.5824810606060602</v>
      </c>
      <c r="X27" s="236">
        <v>0.46780303030303</v>
      </c>
      <c r="Y27" s="236">
        <v>0.53541666666666599</v>
      </c>
      <c r="Z27" s="236">
        <v>1.6748579545454501</v>
      </c>
      <c r="AA27" s="236">
        <v>0.30317234848484798</v>
      </c>
      <c r="AB27" s="236">
        <v>5.0321022727272702</v>
      </c>
      <c r="AC27" s="236">
        <v>1.2318181818181799</v>
      </c>
      <c r="AD27" s="236">
        <v>1.0599431818181799</v>
      </c>
      <c r="AE27" s="236">
        <v>1.8692234848484801</v>
      </c>
      <c r="AF27" s="236">
        <v>10.3147727272727</v>
      </c>
      <c r="AG27" s="236">
        <v>1.1856534090908999</v>
      </c>
      <c r="AH27" s="236"/>
      <c r="AI27" s="236">
        <v>3.03091856060606</v>
      </c>
      <c r="AJ27" s="236">
        <v>6.1979167000000002E-2</v>
      </c>
      <c r="AK27" s="236">
        <v>0.70042613636363604</v>
      </c>
      <c r="AL27" s="236">
        <v>1.54285037878787</v>
      </c>
      <c r="AM27" s="236">
        <v>1.8247159090909</v>
      </c>
      <c r="AN27" s="236">
        <v>0.319412878787878</v>
      </c>
      <c r="AO27" s="236">
        <v>3.0372159090909001</v>
      </c>
      <c r="AP27" s="236">
        <v>0.81344696969696895</v>
      </c>
      <c r="AQ27" s="236">
        <v>0.15757575757575701</v>
      </c>
      <c r="AR27" s="236">
        <v>0.58267045454545396</v>
      </c>
      <c r="AS27" s="236">
        <v>0.58579545454545401</v>
      </c>
      <c r="AT27" s="236">
        <v>1.8310132575757501</v>
      </c>
      <c r="AU27" s="236">
        <v>0.20970643939393899</v>
      </c>
      <c r="AV27" s="236">
        <v>0.69498106060606002</v>
      </c>
      <c r="AW27" s="236">
        <v>0.49450757575757498</v>
      </c>
      <c r="AX27" s="236">
        <v>2.3745265151515098</v>
      </c>
      <c r="AY27" s="236">
        <v>7.1596117424242403</v>
      </c>
      <c r="AZ27" s="236">
        <v>5.2746212121212097E-2</v>
      </c>
      <c r="BA27" s="236">
        <f>SUM(F27:AZ27)</f>
        <v>97.790625000333108</v>
      </c>
      <c r="BB27" s="182"/>
    </row>
    <row r="28" spans="1:54" s="23" customFormat="1" ht="47.4" thickBot="1" x14ac:dyDescent="0.35">
      <c r="A28" s="281"/>
      <c r="B28" s="217" t="s">
        <v>186</v>
      </c>
      <c r="C28" s="5" t="s">
        <v>112</v>
      </c>
      <c r="D28" s="5" t="s">
        <v>187</v>
      </c>
      <c r="E28" s="199" t="s">
        <v>188</v>
      </c>
      <c r="F28" s="236">
        <v>0.60080492424242404</v>
      </c>
      <c r="G28" s="236">
        <v>1.72750946969696</v>
      </c>
      <c r="H28" s="236">
        <v>3.6637784090909</v>
      </c>
      <c r="I28" s="236">
        <v>0.83423295454545399</v>
      </c>
      <c r="J28" s="236">
        <v>2.94625946969696</v>
      </c>
      <c r="K28" s="236">
        <v>2.0787878787878702</v>
      </c>
      <c r="L28" s="236">
        <v>4.9100379E-2</v>
      </c>
      <c r="M28" s="236">
        <v>0.82821969699999998</v>
      </c>
      <c r="N28" s="236">
        <v>4.2020833333333298</v>
      </c>
      <c r="O28" s="236">
        <v>0.64029356060606002</v>
      </c>
      <c r="P28" s="236">
        <v>6.36316287878787</v>
      </c>
      <c r="Q28" s="236">
        <v>4.5120265151515104</v>
      </c>
      <c r="R28" s="236">
        <v>0.54285037878787801</v>
      </c>
      <c r="S28" s="236">
        <v>1.04767992424242</v>
      </c>
      <c r="T28" s="236">
        <v>2.6072443181818099</v>
      </c>
      <c r="U28" s="236">
        <v>9.6357007575757496</v>
      </c>
      <c r="V28" s="236">
        <v>5.0926609848484796</v>
      </c>
      <c r="W28" s="236">
        <v>4.5018939393939297</v>
      </c>
      <c r="X28" s="236">
        <v>0.72575757575757505</v>
      </c>
      <c r="Y28" s="236">
        <v>0.32878787878787802</v>
      </c>
      <c r="Z28" s="236">
        <v>1.7411931818181801</v>
      </c>
      <c r="AA28" s="236">
        <v>0.35596590909090903</v>
      </c>
      <c r="AB28" s="236">
        <v>5.3885890151515099</v>
      </c>
      <c r="AC28" s="236">
        <v>1.1706439393939301</v>
      </c>
      <c r="AD28" s="236">
        <v>1.1187499999999999</v>
      </c>
      <c r="AE28" s="236">
        <v>2.2648200757575698</v>
      </c>
      <c r="AF28" s="236">
        <v>10.4654356060606</v>
      </c>
      <c r="AG28" s="236">
        <v>1.05151515151515</v>
      </c>
      <c r="AH28" s="236"/>
      <c r="AI28" s="236">
        <v>1.7361742424242399</v>
      </c>
      <c r="AJ28" s="236">
        <v>5.6676136363636297E-2</v>
      </c>
      <c r="AK28" s="236">
        <v>0.69938446969696899</v>
      </c>
      <c r="AL28" s="236">
        <v>6.7766571969696896</v>
      </c>
      <c r="AM28" s="236">
        <v>2.1347537878787799</v>
      </c>
      <c r="AN28" s="236">
        <v>0.244649621212121</v>
      </c>
      <c r="AO28" s="236">
        <v>2.68323863636363</v>
      </c>
      <c r="AP28" s="236">
        <v>1.08901515151515</v>
      </c>
      <c r="AQ28" s="236">
        <v>0.141571969696969</v>
      </c>
      <c r="AR28" s="236">
        <v>0.266571969696969</v>
      </c>
      <c r="AS28" s="236">
        <v>0.71150568181818097</v>
      </c>
      <c r="AT28" s="236">
        <v>2.7508522727272702</v>
      </c>
      <c r="AU28" s="236">
        <v>0.21889204545454499</v>
      </c>
      <c r="AV28" s="236">
        <v>1.14417613636363</v>
      </c>
      <c r="AW28" s="236">
        <v>0.452083333333333</v>
      </c>
      <c r="AX28" s="236">
        <v>1.77414772727272</v>
      </c>
      <c r="AY28" s="236">
        <v>13.989772727272699</v>
      </c>
      <c r="AZ28" s="236">
        <v>0.139583333333333</v>
      </c>
      <c r="BA28" s="236">
        <f>SUM(F28:AZ28)</f>
        <v>113.49545454569677</v>
      </c>
      <c r="BB28" s="182"/>
    </row>
    <row r="29" spans="1:54" s="23" customFormat="1" ht="47.4" thickBot="1" x14ac:dyDescent="0.35">
      <c r="A29" s="281"/>
      <c r="B29" s="217" t="s">
        <v>190</v>
      </c>
      <c r="C29" s="5" t="s">
        <v>112</v>
      </c>
      <c r="D29" s="5" t="s">
        <v>191</v>
      </c>
      <c r="E29" s="199" t="s">
        <v>192</v>
      </c>
      <c r="F29" s="180">
        <f>SUM(F31:F34)</f>
        <v>2836511.62</v>
      </c>
      <c r="G29" s="180">
        <f t="shared" ref="G29:BA29" si="8">SUM(G31:G34)</f>
        <v>4875032.2300000004</v>
      </c>
      <c r="H29" s="180">
        <f t="shared" si="8"/>
        <v>9829574.6699999999</v>
      </c>
      <c r="I29" s="180">
        <f t="shared" si="8"/>
        <v>2932929.59</v>
      </c>
      <c r="J29" s="180">
        <f t="shared" si="8"/>
        <v>8288361.7300000004</v>
      </c>
      <c r="K29" s="180">
        <f t="shared" si="8"/>
        <v>3618431.52</v>
      </c>
      <c r="L29" s="180">
        <f t="shared" si="8"/>
        <v>92504.099999999991</v>
      </c>
      <c r="M29" s="180">
        <f t="shared" si="8"/>
        <v>2936786.74</v>
      </c>
      <c r="N29" s="180">
        <f t="shared" si="8"/>
        <v>10157253.129999999</v>
      </c>
      <c r="O29" s="180">
        <f t="shared" si="8"/>
        <v>2220951.23</v>
      </c>
      <c r="P29" s="180">
        <f t="shared" si="8"/>
        <v>14466727.59</v>
      </c>
      <c r="Q29" s="180">
        <f t="shared" si="8"/>
        <v>6699343.4299999997</v>
      </c>
      <c r="R29" s="180">
        <f t="shared" si="8"/>
        <v>1171797.93</v>
      </c>
      <c r="S29" s="180">
        <f t="shared" si="8"/>
        <v>3666133.6799999997</v>
      </c>
      <c r="T29" s="180">
        <f t="shared" si="8"/>
        <v>4766395.9800000004</v>
      </c>
      <c r="U29" s="180">
        <f t="shared" si="8"/>
        <v>15518643.77</v>
      </c>
      <c r="V29" s="180">
        <f t="shared" si="8"/>
        <v>10466621.549999999</v>
      </c>
      <c r="W29" s="180">
        <f t="shared" si="8"/>
        <v>17885199.27</v>
      </c>
      <c r="X29" s="180">
        <f t="shared" si="8"/>
        <v>2065010.42</v>
      </c>
      <c r="Y29" s="180">
        <f t="shared" si="8"/>
        <v>1680548.57</v>
      </c>
      <c r="Z29" s="180">
        <f t="shared" si="8"/>
        <v>5109481.0199999996</v>
      </c>
      <c r="AA29" s="180">
        <f t="shared" si="8"/>
        <v>1338112.54</v>
      </c>
      <c r="AB29" s="180">
        <f t="shared" si="8"/>
        <v>12455510.91</v>
      </c>
      <c r="AC29" s="180">
        <f t="shared" si="8"/>
        <v>3949294.66</v>
      </c>
      <c r="AD29" s="180">
        <f t="shared" si="8"/>
        <v>2815068.46</v>
      </c>
      <c r="AE29" s="180">
        <f t="shared" si="8"/>
        <v>5629651.0800000001</v>
      </c>
      <c r="AF29" s="180">
        <f t="shared" si="8"/>
        <v>18828957.129999999</v>
      </c>
      <c r="AG29" s="180">
        <f t="shared" si="8"/>
        <v>4245096.92</v>
      </c>
      <c r="AH29" s="180">
        <f t="shared" si="8"/>
        <v>0</v>
      </c>
      <c r="AI29" s="180">
        <f t="shared" si="8"/>
        <v>4329332.3800000008</v>
      </c>
      <c r="AJ29" s="180">
        <f t="shared" si="8"/>
        <v>146957.88</v>
      </c>
      <c r="AK29" s="180">
        <f t="shared" si="8"/>
        <v>1574001.18</v>
      </c>
      <c r="AL29" s="180">
        <f t="shared" si="8"/>
        <v>8259526.120000001</v>
      </c>
      <c r="AM29" s="180">
        <f t="shared" si="8"/>
        <v>5452015.2799999993</v>
      </c>
      <c r="AN29" s="180">
        <f t="shared" si="8"/>
        <v>1538078.06</v>
      </c>
      <c r="AO29" s="180">
        <f t="shared" si="8"/>
        <v>7600521.1700000009</v>
      </c>
      <c r="AP29" s="180">
        <f t="shared" si="8"/>
        <v>1935175.92</v>
      </c>
      <c r="AQ29" s="180">
        <f t="shared" si="8"/>
        <v>505211.42</v>
      </c>
      <c r="AR29" s="180">
        <f t="shared" si="8"/>
        <v>1645589.22</v>
      </c>
      <c r="AS29" s="180">
        <f t="shared" si="8"/>
        <v>1777664.34</v>
      </c>
      <c r="AT29" s="180">
        <f t="shared" si="8"/>
        <v>7251717.3100000005</v>
      </c>
      <c r="AU29" s="180">
        <f t="shared" si="8"/>
        <v>909111.48</v>
      </c>
      <c r="AV29" s="180">
        <f t="shared" si="8"/>
        <v>2211622.9799999995</v>
      </c>
      <c r="AW29" s="180">
        <f t="shared" si="8"/>
        <v>1519855.4500000002</v>
      </c>
      <c r="AX29" s="180">
        <f>SUM(AX31:AX34)</f>
        <v>2170960.7799999998</v>
      </c>
      <c r="AY29" s="180">
        <f>SUM(AY31:AY34)</f>
        <v>15372667.359999999</v>
      </c>
      <c r="AZ29" s="180">
        <f>SUM(AZ31:AZ34)</f>
        <v>315459.19999999995</v>
      </c>
      <c r="BA29" s="180">
        <f t="shared" si="8"/>
        <v>245061398.88999999</v>
      </c>
      <c r="BB29" s="182"/>
    </row>
    <row r="30" spans="1:54" s="23" customFormat="1" ht="47.4" thickBot="1" x14ac:dyDescent="0.35">
      <c r="A30" s="281"/>
      <c r="B30" s="216" t="s">
        <v>194</v>
      </c>
      <c r="C30" s="5" t="s">
        <v>112</v>
      </c>
      <c r="D30" s="5" t="s">
        <v>195</v>
      </c>
      <c r="E30" s="13"/>
      <c r="F30" s="13"/>
      <c r="G30" s="13"/>
      <c r="H30" s="13"/>
      <c r="I30" s="13"/>
      <c r="J30" s="13"/>
      <c r="K30" s="13"/>
      <c r="L30" s="13"/>
      <c r="M30" s="13"/>
      <c r="N30" s="13"/>
      <c r="O30" s="13"/>
      <c r="P30" s="13"/>
      <c r="Q30" s="13"/>
      <c r="R30" s="13"/>
      <c r="S30" s="13"/>
      <c r="T30" s="13"/>
      <c r="U30" s="13"/>
      <c r="V30" s="13"/>
      <c r="W30" s="13"/>
      <c r="X30" s="13"/>
      <c r="Y30" s="13"/>
      <c r="Z30" s="13"/>
      <c r="AA30" s="13"/>
      <c r="AB30" s="13"/>
      <c r="AC30" s="13"/>
      <c r="AD30" s="13"/>
      <c r="AE30" s="13"/>
      <c r="AF30" s="13"/>
      <c r="AG30" s="13"/>
      <c r="AH30" s="13"/>
      <c r="AI30" s="13"/>
      <c r="AJ30" s="13"/>
      <c r="AK30" s="13"/>
      <c r="AL30" s="13"/>
      <c r="AM30" s="13"/>
      <c r="AN30" s="13"/>
      <c r="AO30" s="13"/>
      <c r="AP30" s="13"/>
      <c r="AQ30" s="13"/>
      <c r="AR30" s="13"/>
      <c r="AS30" s="13"/>
      <c r="AT30" s="13"/>
      <c r="AU30" s="13"/>
      <c r="AV30" s="13"/>
      <c r="AW30" s="13"/>
      <c r="AX30" s="13"/>
      <c r="AY30" s="13"/>
      <c r="AZ30" s="13"/>
      <c r="BA30" s="127"/>
      <c r="BB30" s="182"/>
    </row>
    <row r="31" spans="1:54" s="23" customFormat="1" ht="84" customHeight="1" thickBot="1" x14ac:dyDescent="0.35">
      <c r="A31" s="281"/>
      <c r="B31" s="216" t="s">
        <v>196</v>
      </c>
      <c r="C31" s="5" t="s">
        <v>112</v>
      </c>
      <c r="D31" s="5" t="s">
        <v>197</v>
      </c>
      <c r="E31" s="202" t="s">
        <v>198</v>
      </c>
      <c r="F31" s="180">
        <v>474887.63</v>
      </c>
      <c r="G31" s="180">
        <v>675623.81</v>
      </c>
      <c r="H31" s="180">
        <v>1306385.23</v>
      </c>
      <c r="I31" s="180">
        <v>546730.75</v>
      </c>
      <c r="J31" s="180">
        <v>1205945.78</v>
      </c>
      <c r="K31" s="180">
        <v>650725.93999999994</v>
      </c>
      <c r="L31" s="180">
        <v>15655.39</v>
      </c>
      <c r="M31" s="180">
        <v>511694.87</v>
      </c>
      <c r="N31" s="180">
        <v>1548779.32</v>
      </c>
      <c r="O31" s="180">
        <v>400323.4</v>
      </c>
      <c r="P31" s="180">
        <v>2166026.37</v>
      </c>
      <c r="Q31" s="180">
        <v>1058123.3600000001</v>
      </c>
      <c r="R31" s="180">
        <v>296238.12</v>
      </c>
      <c r="S31" s="180">
        <v>643140.73</v>
      </c>
      <c r="T31" s="180">
        <v>543130.16</v>
      </c>
      <c r="U31" s="180">
        <v>2559673.17</v>
      </c>
      <c r="V31" s="180">
        <v>1713372.68</v>
      </c>
      <c r="W31" s="180">
        <v>2373884.08</v>
      </c>
      <c r="X31" s="180">
        <v>336425.82</v>
      </c>
      <c r="Y31" s="180">
        <v>283030.46999999997</v>
      </c>
      <c r="Z31" s="180">
        <v>1141554.45</v>
      </c>
      <c r="AA31" s="180">
        <v>254211.92</v>
      </c>
      <c r="AB31" s="180">
        <v>1868388.65</v>
      </c>
      <c r="AC31" s="180">
        <v>495590.66</v>
      </c>
      <c r="AD31" s="180">
        <v>460923.28</v>
      </c>
      <c r="AE31" s="180">
        <v>811441.29</v>
      </c>
      <c r="AF31" s="180">
        <v>2640739.39</v>
      </c>
      <c r="AG31" s="180">
        <v>829290</v>
      </c>
      <c r="AH31" s="180"/>
      <c r="AI31" s="180">
        <v>672178.29</v>
      </c>
      <c r="AJ31" s="180">
        <v>29760.32</v>
      </c>
      <c r="AK31" s="180">
        <v>430110.04</v>
      </c>
      <c r="AL31" s="180">
        <v>1683121.5</v>
      </c>
      <c r="AM31" s="180">
        <v>800607.25</v>
      </c>
      <c r="AN31" s="180">
        <v>174902.91</v>
      </c>
      <c r="AO31" s="180">
        <v>1111761.3500000001</v>
      </c>
      <c r="AP31" s="180">
        <v>259410.85</v>
      </c>
      <c r="AQ31" s="180">
        <v>67732.460000000006</v>
      </c>
      <c r="AR31" s="180">
        <v>324049.46000000002</v>
      </c>
      <c r="AS31" s="180">
        <v>387436.92</v>
      </c>
      <c r="AT31" s="180">
        <v>821831.05</v>
      </c>
      <c r="AU31" s="180">
        <v>194249.77</v>
      </c>
      <c r="AV31" s="180">
        <v>360611.36</v>
      </c>
      <c r="AW31" s="180">
        <v>344004.25</v>
      </c>
      <c r="AX31" s="180">
        <v>317758.53000000003</v>
      </c>
      <c r="AY31" s="180">
        <v>3397388.98</v>
      </c>
      <c r="AZ31" s="180">
        <v>47516.27</v>
      </c>
      <c r="BA31" s="180">
        <v>39236368.270000003</v>
      </c>
      <c r="BB31" s="182"/>
    </row>
    <row r="32" spans="1:54" s="23" customFormat="1" ht="47.4" thickBot="1" x14ac:dyDescent="0.35">
      <c r="A32" s="281"/>
      <c r="B32" s="216" t="s">
        <v>200</v>
      </c>
      <c r="C32" s="5" t="s">
        <v>112</v>
      </c>
      <c r="D32" s="5" t="s">
        <v>201</v>
      </c>
      <c r="E32" s="202" t="s">
        <v>202</v>
      </c>
      <c r="F32" s="180">
        <v>1056546.3</v>
      </c>
      <c r="G32" s="180">
        <v>2052062.08</v>
      </c>
      <c r="H32" s="180">
        <v>4564732.99</v>
      </c>
      <c r="I32" s="180">
        <v>1135926.3899999999</v>
      </c>
      <c r="J32" s="180">
        <v>3187709.76</v>
      </c>
      <c r="K32" s="180">
        <v>1397757.59</v>
      </c>
      <c r="L32" s="180">
        <v>6401.12</v>
      </c>
      <c r="M32" s="180">
        <v>356650.48</v>
      </c>
      <c r="N32" s="180">
        <v>2104127.71</v>
      </c>
      <c r="O32" s="180">
        <v>406844.23</v>
      </c>
      <c r="P32" s="180">
        <v>5846081.25</v>
      </c>
      <c r="Q32" s="180">
        <v>2328024.61</v>
      </c>
      <c r="R32" s="180">
        <v>462241.31</v>
      </c>
      <c r="S32" s="180">
        <v>467134.43</v>
      </c>
      <c r="T32" s="180">
        <v>2247302.1800000002</v>
      </c>
      <c r="U32" s="180">
        <v>6038503.8799999999</v>
      </c>
      <c r="V32" s="180">
        <v>4287675.34</v>
      </c>
      <c r="W32" s="180">
        <v>2125167.25</v>
      </c>
      <c r="X32" s="180">
        <v>244163.49</v>
      </c>
      <c r="Y32" s="180">
        <v>211999.7</v>
      </c>
      <c r="Z32" s="180">
        <v>2043343.05</v>
      </c>
      <c r="AA32" s="180">
        <v>318796.31</v>
      </c>
      <c r="AB32" s="180">
        <v>5835373.25</v>
      </c>
      <c r="AC32" s="180">
        <v>1373907.87</v>
      </c>
      <c r="AD32" s="180">
        <v>1415588.44</v>
      </c>
      <c r="AE32" s="180">
        <v>468665.92</v>
      </c>
      <c r="AF32" s="180">
        <v>9544893.3699999992</v>
      </c>
      <c r="AG32" s="180">
        <v>1107735.47</v>
      </c>
      <c r="AH32" s="180"/>
      <c r="AI32" s="180">
        <v>1425674.62</v>
      </c>
      <c r="AJ32" s="180">
        <v>53419.56</v>
      </c>
      <c r="AK32" s="180">
        <v>624580.86</v>
      </c>
      <c r="AL32" s="180">
        <v>2701284.99</v>
      </c>
      <c r="AM32" s="180">
        <v>1705249.38</v>
      </c>
      <c r="AN32" s="180">
        <v>138985.46</v>
      </c>
      <c r="AO32" s="180">
        <v>3228552.95</v>
      </c>
      <c r="AP32" s="180">
        <v>149960.54999999999</v>
      </c>
      <c r="AQ32" s="180">
        <v>17849.2</v>
      </c>
      <c r="AR32" s="180">
        <v>562654.75</v>
      </c>
      <c r="AS32" s="180">
        <v>277086.8</v>
      </c>
      <c r="AT32" s="180">
        <v>2007774.19</v>
      </c>
      <c r="AU32" s="180">
        <v>302172.65000000002</v>
      </c>
      <c r="AV32" s="180">
        <v>737262.79</v>
      </c>
      <c r="AW32" s="180">
        <v>493544.54</v>
      </c>
      <c r="AX32" s="180">
        <v>1150520.8899999999</v>
      </c>
      <c r="AY32" s="180">
        <v>6971750.8300000001</v>
      </c>
      <c r="AZ32" s="180">
        <v>170095.58</v>
      </c>
      <c r="BA32" s="180">
        <v>85353776.299999997</v>
      </c>
      <c r="BB32" s="182"/>
    </row>
    <row r="33" spans="1:59" s="23" customFormat="1" ht="47.4" thickBot="1" x14ac:dyDescent="0.35">
      <c r="A33" s="281"/>
      <c r="B33" s="216" t="s">
        <v>204</v>
      </c>
      <c r="C33" s="5" t="s">
        <v>112</v>
      </c>
      <c r="D33" s="5" t="s">
        <v>205</v>
      </c>
      <c r="E33" s="202" t="s">
        <v>206</v>
      </c>
      <c r="F33" s="180">
        <v>56694.239999999998</v>
      </c>
      <c r="G33" s="180">
        <v>99355.65</v>
      </c>
      <c r="H33" s="180">
        <v>82160.67</v>
      </c>
      <c r="I33" s="180">
        <v>42541.52</v>
      </c>
      <c r="J33" s="180">
        <v>79458.61</v>
      </c>
      <c r="K33" s="180">
        <v>68081.86</v>
      </c>
      <c r="L33" s="180">
        <v>3210.19</v>
      </c>
      <c r="M33" s="180">
        <v>39583.32</v>
      </c>
      <c r="N33" s="180">
        <v>103040.04</v>
      </c>
      <c r="O33" s="180">
        <v>20655.330000000002</v>
      </c>
      <c r="P33" s="180">
        <v>122713.61</v>
      </c>
      <c r="Q33" s="180">
        <v>88229.67</v>
      </c>
      <c r="R33" s="180">
        <v>11089.27</v>
      </c>
      <c r="S33" s="180">
        <v>49728.89</v>
      </c>
      <c r="T33" s="180">
        <v>58734.22</v>
      </c>
      <c r="U33" s="180">
        <v>142047.09</v>
      </c>
      <c r="V33" s="180">
        <v>100305.85</v>
      </c>
      <c r="W33" s="180">
        <v>216513.34</v>
      </c>
      <c r="X33" s="180">
        <v>21539.9</v>
      </c>
      <c r="Y33" s="180">
        <v>44661.78</v>
      </c>
      <c r="Z33" s="180">
        <v>47286.71</v>
      </c>
      <c r="AA33" s="180">
        <v>16850.46</v>
      </c>
      <c r="AB33" s="180">
        <v>110226.33</v>
      </c>
      <c r="AC33" s="180">
        <v>41323.370000000003</v>
      </c>
      <c r="AD33" s="180">
        <v>23370.03</v>
      </c>
      <c r="AE33" s="180">
        <v>146356.79999999999</v>
      </c>
      <c r="AF33" s="180">
        <v>213172.29</v>
      </c>
      <c r="AG33" s="180">
        <v>53487.5</v>
      </c>
      <c r="AH33" s="180"/>
      <c r="AI33" s="180">
        <v>48976.47</v>
      </c>
      <c r="AJ33" s="180">
        <v>1080.1199999999999</v>
      </c>
      <c r="AK33" s="180">
        <v>16246.21</v>
      </c>
      <c r="AL33" s="180">
        <v>110645.7</v>
      </c>
      <c r="AM33" s="180">
        <v>108556.01</v>
      </c>
      <c r="AN33" s="180">
        <v>50513.84</v>
      </c>
      <c r="AO33" s="180">
        <v>70536.78</v>
      </c>
      <c r="AP33" s="180">
        <v>18298.86</v>
      </c>
      <c r="AQ33" s="180">
        <v>5583.03</v>
      </c>
      <c r="AR33" s="180">
        <v>29267.200000000001</v>
      </c>
      <c r="AS33" s="180">
        <v>43457.8</v>
      </c>
      <c r="AT33" s="180">
        <v>33100.31</v>
      </c>
      <c r="AU33" s="180">
        <v>7525.32</v>
      </c>
      <c r="AV33" s="180">
        <v>50532.67</v>
      </c>
      <c r="AW33" s="180">
        <v>23968.38</v>
      </c>
      <c r="AX33" s="180">
        <v>34427.97</v>
      </c>
      <c r="AY33" s="180">
        <v>181113.69</v>
      </c>
      <c r="AZ33" s="180">
        <v>3207.5</v>
      </c>
      <c r="BA33" s="180">
        <v>2939456.4</v>
      </c>
      <c r="BB33" s="182"/>
    </row>
    <row r="34" spans="1:59" s="23" customFormat="1" ht="63" thickBot="1" x14ac:dyDescent="0.35">
      <c r="A34" s="281"/>
      <c r="B34" s="216" t="s">
        <v>208</v>
      </c>
      <c r="C34" s="5" t="s">
        <v>112</v>
      </c>
      <c r="D34" s="7" t="s">
        <v>209</v>
      </c>
      <c r="E34" s="199" t="s">
        <v>210</v>
      </c>
      <c r="F34" s="180">
        <v>1248383.45</v>
      </c>
      <c r="G34" s="180">
        <v>2047990.69</v>
      </c>
      <c r="H34" s="180">
        <v>3876295.78</v>
      </c>
      <c r="I34" s="180">
        <v>1207730.93</v>
      </c>
      <c r="J34" s="180">
        <v>3815247.58</v>
      </c>
      <c r="K34" s="180">
        <v>1501866.13</v>
      </c>
      <c r="L34" s="180">
        <v>67237.399999999994</v>
      </c>
      <c r="M34" s="180">
        <v>2028858.07</v>
      </c>
      <c r="N34" s="180">
        <v>6401306.0599999996</v>
      </c>
      <c r="O34" s="180">
        <v>1393128.27</v>
      </c>
      <c r="P34" s="180">
        <v>6331906.3600000003</v>
      </c>
      <c r="Q34" s="180">
        <v>3224965.79</v>
      </c>
      <c r="R34" s="180">
        <v>402229.23</v>
      </c>
      <c r="S34" s="180">
        <v>2506129.63</v>
      </c>
      <c r="T34" s="180">
        <v>1917229.42</v>
      </c>
      <c r="U34" s="180">
        <v>6778419.6299999999</v>
      </c>
      <c r="V34" s="180">
        <v>4365267.68</v>
      </c>
      <c r="W34" s="180">
        <v>13169634.6</v>
      </c>
      <c r="X34" s="180">
        <v>1462881.21</v>
      </c>
      <c r="Y34" s="180">
        <v>1140856.6200000001</v>
      </c>
      <c r="Z34" s="180">
        <v>1877296.81</v>
      </c>
      <c r="AA34" s="180">
        <v>748253.85</v>
      </c>
      <c r="AB34" s="180">
        <v>4641522.68</v>
      </c>
      <c r="AC34" s="180">
        <v>2038472.76</v>
      </c>
      <c r="AD34" s="180">
        <v>915186.71</v>
      </c>
      <c r="AE34" s="180">
        <v>4203187.07</v>
      </c>
      <c r="AF34" s="180">
        <v>6430152.0800000001</v>
      </c>
      <c r="AG34" s="180">
        <v>2254583.9500000002</v>
      </c>
      <c r="AH34" s="180">
        <v>0</v>
      </c>
      <c r="AI34" s="180">
        <v>2182503</v>
      </c>
      <c r="AJ34" s="180">
        <v>62697.88</v>
      </c>
      <c r="AK34" s="180">
        <v>503064.07</v>
      </c>
      <c r="AL34" s="180">
        <v>3764473.93</v>
      </c>
      <c r="AM34" s="180">
        <v>2837602.64</v>
      </c>
      <c r="AN34" s="180">
        <v>1173675.8500000001</v>
      </c>
      <c r="AO34" s="180">
        <v>3189670.09</v>
      </c>
      <c r="AP34" s="180">
        <v>1507505.66</v>
      </c>
      <c r="AQ34" s="180">
        <v>414046.73</v>
      </c>
      <c r="AR34" s="180">
        <v>729617.81</v>
      </c>
      <c r="AS34" s="180">
        <v>1069682.82</v>
      </c>
      <c r="AT34" s="180">
        <v>4389011.76</v>
      </c>
      <c r="AU34" s="180">
        <v>405163.74</v>
      </c>
      <c r="AV34" s="180">
        <v>1063216.1599999999</v>
      </c>
      <c r="AW34" s="180">
        <v>658338.28</v>
      </c>
      <c r="AX34" s="180">
        <v>668253.39</v>
      </c>
      <c r="AY34" s="180">
        <v>4822413.8600000003</v>
      </c>
      <c r="AZ34" s="180">
        <v>94639.85</v>
      </c>
      <c r="BA34" s="180">
        <v>117531797.92</v>
      </c>
      <c r="BB34" s="182"/>
    </row>
    <row r="35" spans="1:59" s="23" customFormat="1" ht="47.4" thickBot="1" x14ac:dyDescent="0.35">
      <c r="A35" s="282"/>
      <c r="B35" s="216" t="s">
        <v>212</v>
      </c>
      <c r="C35" s="5" t="s">
        <v>112</v>
      </c>
      <c r="D35" s="6" t="s">
        <v>213</v>
      </c>
      <c r="E35" s="199" t="s">
        <v>214</v>
      </c>
      <c r="F35" s="183">
        <v>235.76</v>
      </c>
      <c r="G35" s="183">
        <v>610.97</v>
      </c>
      <c r="H35" s="183">
        <v>516.66999999999996</v>
      </c>
      <c r="I35" s="183">
        <v>864.94</v>
      </c>
      <c r="J35" s="183">
        <v>196.69</v>
      </c>
      <c r="K35" s="183">
        <v>310.69</v>
      </c>
      <c r="L35" s="183">
        <v>150.13</v>
      </c>
      <c r="M35" s="183">
        <v>339.26</v>
      </c>
      <c r="N35" s="183">
        <v>771.27</v>
      </c>
      <c r="O35" s="183">
        <v>346.94</v>
      </c>
      <c r="P35" s="183">
        <v>261.44</v>
      </c>
      <c r="Q35" s="183">
        <v>296.36</v>
      </c>
      <c r="R35" s="183">
        <v>222.78</v>
      </c>
      <c r="S35" s="183">
        <v>399.29</v>
      </c>
      <c r="T35" s="183">
        <v>160.26</v>
      </c>
      <c r="U35" s="183">
        <v>147.66</v>
      </c>
      <c r="V35" s="183">
        <v>351.28</v>
      </c>
      <c r="W35" s="183">
        <v>1034.77</v>
      </c>
      <c r="X35" s="183">
        <v>169.49</v>
      </c>
      <c r="Y35" s="183">
        <v>238.15</v>
      </c>
      <c r="Z35" s="183">
        <v>299.64</v>
      </c>
      <c r="AA35" s="183">
        <v>521.79</v>
      </c>
      <c r="AB35" s="183">
        <v>585.91</v>
      </c>
      <c r="AC35" s="183">
        <v>258.29000000000002</v>
      </c>
      <c r="AD35" s="183">
        <v>163.27000000000001</v>
      </c>
      <c r="AE35" s="183">
        <v>682.35</v>
      </c>
      <c r="AF35" s="183">
        <v>113.98</v>
      </c>
      <c r="AG35" s="183">
        <v>237.39</v>
      </c>
      <c r="AH35" s="180"/>
      <c r="AI35" s="180">
        <v>113.76</v>
      </c>
      <c r="AJ35" s="180">
        <v>152.80000000000001</v>
      </c>
      <c r="AK35" s="180">
        <v>196.72</v>
      </c>
      <c r="AL35" s="180">
        <v>228.75</v>
      </c>
      <c r="AM35" s="180">
        <v>201.59</v>
      </c>
      <c r="AN35" s="180">
        <v>338</v>
      </c>
      <c r="AO35" s="180">
        <v>758.55</v>
      </c>
      <c r="AP35" s="180">
        <v>286.55</v>
      </c>
      <c r="AQ35" s="180">
        <v>367.61</v>
      </c>
      <c r="AR35" s="180">
        <v>284.7</v>
      </c>
      <c r="AS35" s="180"/>
      <c r="AT35" s="180">
        <v>474.6</v>
      </c>
      <c r="AU35" s="180">
        <v>149.88</v>
      </c>
      <c r="AV35" s="180">
        <v>336.25</v>
      </c>
      <c r="AW35" s="180">
        <v>299.92</v>
      </c>
      <c r="AX35" s="180">
        <v>191.57</v>
      </c>
      <c r="AY35" s="180">
        <v>333.5</v>
      </c>
      <c r="AZ35" s="180">
        <v>134.16999999999999</v>
      </c>
      <c r="BA35" s="180">
        <v>392.4</v>
      </c>
      <c r="BB35" s="182"/>
    </row>
    <row r="36" spans="1:59" ht="16.2" thickBot="1" x14ac:dyDescent="0.35">
      <c r="B36" s="10"/>
      <c r="D36" s="75"/>
      <c r="E36" s="8"/>
      <c r="F36" s="8"/>
      <c r="G36" s="8"/>
      <c r="H36" s="8"/>
      <c r="I36" s="8"/>
      <c r="J36" s="8"/>
      <c r="K36" s="8"/>
      <c r="L36" s="8"/>
      <c r="M36" s="8"/>
      <c r="N36" s="8"/>
      <c r="O36" s="8"/>
      <c r="P36" s="8"/>
      <c r="Q36" s="8"/>
      <c r="R36" s="8"/>
      <c r="W36" s="8"/>
      <c r="Z36" s="108"/>
    </row>
    <row r="37" spans="1:59" s="1" customFormat="1" ht="80.400000000000006" customHeight="1" thickBot="1" x14ac:dyDescent="0.35">
      <c r="A37" s="275" t="s">
        <v>216</v>
      </c>
      <c r="B37" s="275" t="s">
        <v>217</v>
      </c>
      <c r="C37" s="91" t="s">
        <v>218</v>
      </c>
      <c r="D37" s="91" t="s">
        <v>219</v>
      </c>
      <c r="E37" s="15" t="s">
        <v>220</v>
      </c>
      <c r="F37" s="116">
        <v>314839513.58499998</v>
      </c>
      <c r="Z37" s="115" t="s">
        <v>221</v>
      </c>
    </row>
    <row r="38" spans="1:59" s="23" customFormat="1" ht="16.2" thickBot="1" x14ac:dyDescent="0.35">
      <c r="B38" s="218"/>
      <c r="E38" s="204"/>
      <c r="F38" s="184"/>
      <c r="G38" s="184"/>
      <c r="H38" s="184"/>
      <c r="I38" s="184"/>
      <c r="J38" s="184"/>
      <c r="K38" s="184"/>
      <c r="L38" s="184"/>
      <c r="M38" s="184"/>
      <c r="N38" s="184"/>
      <c r="O38" s="184"/>
      <c r="P38" s="184"/>
      <c r="Q38" s="184"/>
      <c r="R38" s="184"/>
      <c r="S38" s="184"/>
      <c r="T38" s="184"/>
      <c r="U38" s="184"/>
      <c r="V38" s="184"/>
      <c r="W38" s="184"/>
      <c r="X38" s="184"/>
      <c r="Y38" s="184"/>
      <c r="Z38" s="184"/>
      <c r="AA38" s="184"/>
      <c r="AB38" s="184"/>
      <c r="AC38" s="184"/>
      <c r="AD38" s="184"/>
      <c r="AE38" s="184"/>
      <c r="AF38" s="184"/>
      <c r="AG38" s="184"/>
      <c r="AH38" s="184"/>
      <c r="AI38" s="184"/>
      <c r="AJ38" s="184"/>
      <c r="AK38" s="184"/>
      <c r="AL38" s="184"/>
      <c r="AM38" s="184"/>
      <c r="AN38" s="184"/>
      <c r="AO38" s="184"/>
      <c r="AP38" s="184"/>
      <c r="AQ38" s="184"/>
      <c r="AR38" s="184"/>
      <c r="AS38" s="184"/>
      <c r="AT38" s="184"/>
      <c r="AU38" s="184"/>
      <c r="AV38" s="184"/>
      <c r="AW38" s="184"/>
      <c r="AX38" s="184"/>
      <c r="AY38" s="184"/>
      <c r="AZ38" s="184"/>
      <c r="BA38" s="182"/>
      <c r="BB38" s="182"/>
    </row>
    <row r="39" spans="1:59" s="23" customFormat="1" ht="47.4" thickBot="1" x14ac:dyDescent="0.35">
      <c r="A39" s="280" t="s">
        <v>222</v>
      </c>
      <c r="B39" s="205" t="s">
        <v>41</v>
      </c>
      <c r="C39" s="28" t="s">
        <v>83</v>
      </c>
      <c r="D39" s="28" t="s">
        <v>84</v>
      </c>
      <c r="E39" s="205" t="s">
        <v>53</v>
      </c>
      <c r="F39" s="3" t="s">
        <v>758</v>
      </c>
      <c r="G39" s="3" t="s">
        <v>759</v>
      </c>
      <c r="H39" s="3" t="s">
        <v>760</v>
      </c>
      <c r="I39" s="3" t="s">
        <v>761</v>
      </c>
      <c r="J39" s="3" t="s">
        <v>762</v>
      </c>
      <c r="K39" s="3" t="s">
        <v>763</v>
      </c>
      <c r="L39" s="3" t="s">
        <v>764</v>
      </c>
      <c r="M39" s="3" t="s">
        <v>765</v>
      </c>
      <c r="N39" s="3" t="s">
        <v>766</v>
      </c>
      <c r="O39" s="3" t="s">
        <v>767</v>
      </c>
      <c r="P39" s="3" t="s">
        <v>768</v>
      </c>
      <c r="Q39" s="3" t="s">
        <v>769</v>
      </c>
      <c r="R39" s="3" t="s">
        <v>770</v>
      </c>
      <c r="S39" s="3" t="s">
        <v>771</v>
      </c>
      <c r="T39" s="3" t="s">
        <v>772</v>
      </c>
      <c r="U39" s="3" t="s">
        <v>773</v>
      </c>
      <c r="V39" s="3" t="s">
        <v>774</v>
      </c>
      <c r="W39" s="3" t="s">
        <v>775</v>
      </c>
      <c r="X39" s="3" t="s">
        <v>776</v>
      </c>
      <c r="Y39" s="3" t="s">
        <v>777</v>
      </c>
      <c r="Z39" s="3" t="s">
        <v>778</v>
      </c>
      <c r="AA39" s="3" t="s">
        <v>779</v>
      </c>
      <c r="AB39" s="3" t="s">
        <v>780</v>
      </c>
      <c r="AC39" s="3" t="s">
        <v>781</v>
      </c>
      <c r="AD39" s="3" t="s">
        <v>782</v>
      </c>
      <c r="AE39" s="3" t="s">
        <v>783</v>
      </c>
      <c r="AF39" s="3" t="s">
        <v>784</v>
      </c>
      <c r="AG39" s="3" t="s">
        <v>785</v>
      </c>
      <c r="AH39" s="3" t="s">
        <v>786</v>
      </c>
      <c r="AI39" s="3" t="s">
        <v>787</v>
      </c>
      <c r="AJ39" s="3" t="s">
        <v>788</v>
      </c>
      <c r="AK39" s="3" t="s">
        <v>789</v>
      </c>
      <c r="AL39" s="3" t="s">
        <v>790</v>
      </c>
      <c r="AM39" s="3" t="s">
        <v>791</v>
      </c>
      <c r="AN39" s="3" t="s">
        <v>792</v>
      </c>
      <c r="AO39" s="3" t="s">
        <v>793</v>
      </c>
      <c r="AP39" s="3" t="s">
        <v>794</v>
      </c>
      <c r="AQ39" s="3" t="s">
        <v>795</v>
      </c>
      <c r="AR39" s="3" t="s">
        <v>796</v>
      </c>
      <c r="AS39" s="3" t="s">
        <v>797</v>
      </c>
      <c r="AT39" s="3" t="s">
        <v>798</v>
      </c>
      <c r="AU39" s="3" t="s">
        <v>799</v>
      </c>
      <c r="AV39" s="3" t="s">
        <v>753</v>
      </c>
      <c r="AW39" s="3" t="s">
        <v>800</v>
      </c>
      <c r="AX39" s="3" t="s">
        <v>801</v>
      </c>
      <c r="AY39" s="3" t="s">
        <v>802</v>
      </c>
      <c r="AZ39" s="3" t="s">
        <v>803</v>
      </c>
      <c r="BA39" s="3" t="s">
        <v>806</v>
      </c>
    </row>
    <row r="40" spans="1:59" s="185" customFormat="1" ht="63" thickBot="1" x14ac:dyDescent="0.35">
      <c r="A40" s="281"/>
      <c r="B40" s="206" t="s">
        <v>224</v>
      </c>
      <c r="C40" s="171" t="s">
        <v>128</v>
      </c>
      <c r="D40" s="171" t="s">
        <v>225</v>
      </c>
      <c r="E40" s="206" t="s">
        <v>226</v>
      </c>
      <c r="F40" s="180">
        <f t="shared" ref="F40:BA40" si="9">F47/F45</f>
        <v>78.882067345340644</v>
      </c>
      <c r="G40" s="180" t="s">
        <v>133</v>
      </c>
      <c r="H40" s="180" t="s">
        <v>133</v>
      </c>
      <c r="I40" s="180" t="s">
        <v>133</v>
      </c>
      <c r="J40" s="180" t="s">
        <v>133</v>
      </c>
      <c r="K40" s="180" t="s">
        <v>133</v>
      </c>
      <c r="L40" s="180" t="s">
        <v>133</v>
      </c>
      <c r="M40" s="180" t="s">
        <v>133</v>
      </c>
      <c r="N40" s="180" t="s">
        <v>133</v>
      </c>
      <c r="O40" s="180" t="s">
        <v>133</v>
      </c>
      <c r="P40" s="180">
        <f t="shared" si="9"/>
        <v>485.13131223307113</v>
      </c>
      <c r="Q40" s="180">
        <f t="shared" si="9"/>
        <v>222.73152614310646</v>
      </c>
      <c r="R40" s="180">
        <f t="shared" si="9"/>
        <v>138.86165406847488</v>
      </c>
      <c r="S40" s="169" t="s">
        <v>133</v>
      </c>
      <c r="T40" s="169" t="s">
        <v>133</v>
      </c>
      <c r="U40" s="180">
        <f t="shared" si="9"/>
        <v>683.069086822141</v>
      </c>
      <c r="V40" s="180">
        <f t="shared" si="9"/>
        <v>192.56834483220578</v>
      </c>
      <c r="W40" s="169" t="s">
        <v>133</v>
      </c>
      <c r="X40" s="180">
        <f t="shared" si="9"/>
        <v>197.67234771966301</v>
      </c>
      <c r="Y40" s="180" t="s">
        <v>133</v>
      </c>
      <c r="Z40" s="180" t="s">
        <v>133</v>
      </c>
      <c r="AA40" s="180">
        <f t="shared" si="9"/>
        <v>65.667901714468499</v>
      </c>
      <c r="AB40" s="180" t="s">
        <v>133</v>
      </c>
      <c r="AC40" s="180" t="s">
        <v>133</v>
      </c>
      <c r="AD40" s="180">
        <f t="shared" si="9"/>
        <v>151.30339449840298</v>
      </c>
      <c r="AE40" s="180" t="s">
        <v>133</v>
      </c>
      <c r="AF40" s="180">
        <f t="shared" si="9"/>
        <v>318.85078628512508</v>
      </c>
      <c r="AG40" s="180" t="s">
        <v>133</v>
      </c>
      <c r="AH40" s="180" t="s">
        <v>133</v>
      </c>
      <c r="AI40" s="180" t="s">
        <v>133</v>
      </c>
      <c r="AJ40" s="180" t="s">
        <v>133</v>
      </c>
      <c r="AK40" s="180">
        <f t="shared" si="9"/>
        <v>220.88143581169339</v>
      </c>
      <c r="AL40" s="180">
        <f t="shared" si="9"/>
        <v>658.63794703700512</v>
      </c>
      <c r="AM40" s="180" t="s">
        <v>133</v>
      </c>
      <c r="AN40" s="180">
        <f t="shared" si="9"/>
        <v>385.95964491362759</v>
      </c>
      <c r="AO40" s="180" t="s">
        <v>133</v>
      </c>
      <c r="AP40" s="180" t="s">
        <v>133</v>
      </c>
      <c r="AQ40" s="180" t="s">
        <v>133</v>
      </c>
      <c r="AR40" s="180">
        <f t="shared" si="9"/>
        <v>2249.1421943573669</v>
      </c>
      <c r="AS40" s="180" t="s">
        <v>133</v>
      </c>
      <c r="AT40" s="180" t="s">
        <v>133</v>
      </c>
      <c r="AU40" s="180" t="s">
        <v>133</v>
      </c>
      <c r="AV40" s="180">
        <f t="shared" si="9"/>
        <v>2992.6452727272726</v>
      </c>
      <c r="AW40" s="180" t="s">
        <v>133</v>
      </c>
      <c r="AX40" s="180">
        <f t="shared" si="9"/>
        <v>15976.78181818182</v>
      </c>
      <c r="AY40" s="180" t="s">
        <v>133</v>
      </c>
      <c r="AZ40" s="180" t="s">
        <v>133</v>
      </c>
      <c r="BA40" s="180">
        <f t="shared" si="9"/>
        <v>292.84842966942233</v>
      </c>
    </row>
    <row r="41" spans="1:59" s="185" customFormat="1" ht="63" thickBot="1" x14ac:dyDescent="0.35">
      <c r="A41" s="281"/>
      <c r="B41" s="206" t="s">
        <v>228</v>
      </c>
      <c r="C41" s="171" t="s">
        <v>128</v>
      </c>
      <c r="D41" s="171" t="s">
        <v>229</v>
      </c>
      <c r="E41" s="207" t="s">
        <v>807</v>
      </c>
      <c r="F41" s="180">
        <f t="shared" ref="F41:BA41" si="10">F47/F46</f>
        <v>77.585930680359439</v>
      </c>
      <c r="G41" s="180" t="s">
        <v>133</v>
      </c>
      <c r="H41" s="180" t="s">
        <v>133</v>
      </c>
      <c r="I41" s="180" t="s">
        <v>133</v>
      </c>
      <c r="J41" s="180" t="s">
        <v>133</v>
      </c>
      <c r="K41" s="180" t="s">
        <v>133</v>
      </c>
      <c r="L41" s="180" t="s">
        <v>133</v>
      </c>
      <c r="M41" s="180" t="s">
        <v>133</v>
      </c>
      <c r="N41" s="180" t="s">
        <v>133</v>
      </c>
      <c r="O41" s="180" t="s">
        <v>133</v>
      </c>
      <c r="P41" s="180">
        <f t="shared" si="10"/>
        <v>476.3228229912321</v>
      </c>
      <c r="Q41" s="180">
        <f t="shared" si="10"/>
        <v>218.29701094690748</v>
      </c>
      <c r="R41" s="180">
        <f t="shared" si="10"/>
        <v>133.48643603237784</v>
      </c>
      <c r="S41" s="169" t="s">
        <v>133</v>
      </c>
      <c r="T41" s="169" t="s">
        <v>133</v>
      </c>
      <c r="U41" s="180">
        <f t="shared" si="10"/>
        <v>676.60531032563313</v>
      </c>
      <c r="V41" s="180">
        <f t="shared" si="10"/>
        <v>186.27153754778516</v>
      </c>
      <c r="W41" s="169" t="s">
        <v>133</v>
      </c>
      <c r="X41" s="180">
        <f t="shared" si="10"/>
        <v>194.40423736347907</v>
      </c>
      <c r="Y41" s="180" t="s">
        <v>133</v>
      </c>
      <c r="Z41" s="180" t="s">
        <v>133</v>
      </c>
      <c r="AA41" s="180">
        <f t="shared" si="10"/>
        <v>64.582216477571933</v>
      </c>
      <c r="AB41" s="180" t="s">
        <v>133</v>
      </c>
      <c r="AC41" s="180" t="s">
        <v>133</v>
      </c>
      <c r="AD41" s="180">
        <f t="shared" si="10"/>
        <v>147.64147027955349</v>
      </c>
      <c r="AE41" s="180" t="s">
        <v>133</v>
      </c>
      <c r="AF41" s="180">
        <f t="shared" si="10"/>
        <v>316.24193300946052</v>
      </c>
      <c r="AG41" s="180" t="s">
        <v>133</v>
      </c>
      <c r="AH41" s="180" t="s">
        <v>133</v>
      </c>
      <c r="AI41" s="180" t="s">
        <v>133</v>
      </c>
      <c r="AJ41" s="180" t="s">
        <v>133</v>
      </c>
      <c r="AK41" s="180">
        <f t="shared" si="10"/>
        <v>215.18393545677819</v>
      </c>
      <c r="AL41" s="180">
        <f t="shared" si="10"/>
        <v>641.98786917407028</v>
      </c>
      <c r="AM41" s="180" t="s">
        <v>133</v>
      </c>
      <c r="AN41" s="180">
        <f t="shared" si="10"/>
        <v>332.3718595041322</v>
      </c>
      <c r="AO41" s="180" t="s">
        <v>133</v>
      </c>
      <c r="AP41" s="180" t="s">
        <v>133</v>
      </c>
      <c r="AQ41" s="180" t="s">
        <v>133</v>
      </c>
      <c r="AR41" s="180">
        <f t="shared" si="10"/>
        <v>2249.1421943573669</v>
      </c>
      <c r="AS41" s="180" t="s">
        <v>133</v>
      </c>
      <c r="AT41" s="180" t="s">
        <v>133</v>
      </c>
      <c r="AU41" s="180" t="s">
        <v>133</v>
      </c>
      <c r="AV41" s="180">
        <f t="shared" si="10"/>
        <v>2952.385470852018</v>
      </c>
      <c r="AW41" s="180" t="s">
        <v>133</v>
      </c>
      <c r="AX41" s="180">
        <f t="shared" si="10"/>
        <v>15187.804938271607</v>
      </c>
      <c r="AY41" s="180" t="s">
        <v>133</v>
      </c>
      <c r="AZ41" s="180" t="s">
        <v>133</v>
      </c>
      <c r="BA41" s="180">
        <f t="shared" si="10"/>
        <v>284.99587888792223</v>
      </c>
    </row>
    <row r="42" spans="1:59" s="186" customFormat="1" ht="63" thickBot="1" x14ac:dyDescent="0.35">
      <c r="A42" s="281"/>
      <c r="B42" s="219" t="s">
        <v>232</v>
      </c>
      <c r="C42" s="172" t="s">
        <v>128</v>
      </c>
      <c r="D42" s="172" t="s">
        <v>233</v>
      </c>
      <c r="E42" s="208" t="s">
        <v>234</v>
      </c>
      <c r="F42" s="173">
        <f>F45/F44</f>
        <v>6129.6</v>
      </c>
      <c r="G42" s="169" t="s">
        <v>133</v>
      </c>
      <c r="H42" s="169" t="s">
        <v>133</v>
      </c>
      <c r="I42" s="169" t="s">
        <v>133</v>
      </c>
      <c r="J42" s="169" t="s">
        <v>133</v>
      </c>
      <c r="K42" s="169" t="s">
        <v>133</v>
      </c>
      <c r="L42" s="169" t="s">
        <v>133</v>
      </c>
      <c r="M42" s="169" t="s">
        <v>133</v>
      </c>
      <c r="N42" s="169" t="s">
        <v>133</v>
      </c>
      <c r="O42" s="169" t="s">
        <v>133</v>
      </c>
      <c r="P42" s="173">
        <f t="shared" ref="P42:BA42" si="11">P45/P44</f>
        <v>3050.0438596491226</v>
      </c>
      <c r="Q42" s="173">
        <f t="shared" si="11"/>
        <v>2170.4545454545455</v>
      </c>
      <c r="R42" s="173">
        <f t="shared" si="11"/>
        <v>4498</v>
      </c>
      <c r="S42" s="169" t="s">
        <v>133</v>
      </c>
      <c r="T42" s="169" t="s">
        <v>133</v>
      </c>
      <c r="U42" s="173">
        <f t="shared" si="11"/>
        <v>1779.5</v>
      </c>
      <c r="V42" s="173">
        <f t="shared" si="11"/>
        <v>8530.8571428571431</v>
      </c>
      <c r="W42" s="169" t="s">
        <v>133</v>
      </c>
      <c r="X42" s="173">
        <f t="shared" si="11"/>
        <v>3059.6914893617022</v>
      </c>
      <c r="Y42" s="169" t="s">
        <v>133</v>
      </c>
      <c r="Z42" s="169" t="s">
        <v>133</v>
      </c>
      <c r="AA42" s="173">
        <f t="shared" si="11"/>
        <v>6119.3829787234044</v>
      </c>
      <c r="AB42" s="169" t="s">
        <v>133</v>
      </c>
      <c r="AC42" s="169" t="s">
        <v>133</v>
      </c>
      <c r="AD42" s="173">
        <f t="shared" si="11"/>
        <v>2454.56</v>
      </c>
      <c r="AE42" s="169" t="s">
        <v>133</v>
      </c>
      <c r="AF42" s="173">
        <f t="shared" si="11"/>
        <v>1939.5</v>
      </c>
      <c r="AG42" s="169" t="s">
        <v>133</v>
      </c>
      <c r="AH42" s="169" t="s">
        <v>133</v>
      </c>
      <c r="AI42" s="169" t="s">
        <v>133</v>
      </c>
      <c r="AJ42" s="169" t="s">
        <v>133</v>
      </c>
      <c r="AK42" s="173">
        <f t="shared" si="11"/>
        <v>2734.1428571428573</v>
      </c>
      <c r="AL42" s="173">
        <f t="shared" si="11"/>
        <v>632.34545454545446</v>
      </c>
      <c r="AM42" s="169" t="s">
        <v>133</v>
      </c>
      <c r="AN42" s="173">
        <f t="shared" si="11"/>
        <v>1250.4000000000001</v>
      </c>
      <c r="AO42" s="169" t="s">
        <v>133</v>
      </c>
      <c r="AP42" s="169" t="s">
        <v>133</v>
      </c>
      <c r="AQ42" s="169" t="s">
        <v>133</v>
      </c>
      <c r="AR42" s="173">
        <f t="shared" si="11"/>
        <v>159.5</v>
      </c>
      <c r="AS42" s="169" t="s">
        <v>133</v>
      </c>
      <c r="AT42" s="169" t="s">
        <v>133</v>
      </c>
      <c r="AU42" s="169" t="s">
        <v>133</v>
      </c>
      <c r="AV42" s="173">
        <f t="shared" si="11"/>
        <v>220</v>
      </c>
      <c r="AW42" s="169" t="s">
        <v>133</v>
      </c>
      <c r="AX42" s="173">
        <f t="shared" si="11"/>
        <v>77</v>
      </c>
      <c r="AY42" s="169" t="s">
        <v>133</v>
      </c>
      <c r="AZ42" s="169" t="s">
        <v>133</v>
      </c>
      <c r="BA42" s="174">
        <f t="shared" si="11"/>
        <v>2218.1035814326274</v>
      </c>
    </row>
    <row r="43" spans="1:59" s="186" customFormat="1" ht="63" thickBot="1" x14ac:dyDescent="0.35">
      <c r="A43" s="281"/>
      <c r="B43" s="219" t="s">
        <v>236</v>
      </c>
      <c r="C43" s="172" t="s">
        <v>128</v>
      </c>
      <c r="D43" s="172" t="s">
        <v>237</v>
      </c>
      <c r="E43" s="208" t="s">
        <v>238</v>
      </c>
      <c r="F43" s="173">
        <f t="shared" ref="F43:BA43" si="12">F46/F44</f>
        <v>6232</v>
      </c>
      <c r="G43" s="169" t="s">
        <v>133</v>
      </c>
      <c r="H43" s="169" t="s">
        <v>133</v>
      </c>
      <c r="I43" s="169" t="s">
        <v>133</v>
      </c>
      <c r="J43" s="169" t="s">
        <v>133</v>
      </c>
      <c r="K43" s="169" t="s">
        <v>133</v>
      </c>
      <c r="L43" s="169" t="s">
        <v>133</v>
      </c>
      <c r="M43" s="169" t="s">
        <v>133</v>
      </c>
      <c r="N43" s="169" t="s">
        <v>133</v>
      </c>
      <c r="O43" s="169" t="s">
        <v>133</v>
      </c>
      <c r="P43" s="173">
        <f t="shared" si="12"/>
        <v>3106.4473684210525</v>
      </c>
      <c r="Q43" s="173">
        <f t="shared" si="12"/>
        <v>2214.5454545454545</v>
      </c>
      <c r="R43" s="173">
        <f t="shared" si="12"/>
        <v>4679.125</v>
      </c>
      <c r="S43" s="169" t="s">
        <v>133</v>
      </c>
      <c r="T43" s="169" t="s">
        <v>133</v>
      </c>
      <c r="U43" s="173">
        <f t="shared" si="12"/>
        <v>1796.5</v>
      </c>
      <c r="V43" s="173">
        <f t="shared" si="12"/>
        <v>8819.2380952380954</v>
      </c>
      <c r="W43" s="169" t="s">
        <v>133</v>
      </c>
      <c r="X43" s="173">
        <f t="shared" si="12"/>
        <v>3111.127659574468</v>
      </c>
      <c r="Y43" s="169" t="s">
        <v>133</v>
      </c>
      <c r="Z43" s="169" t="s">
        <v>133</v>
      </c>
      <c r="AA43" s="173">
        <f t="shared" si="12"/>
        <v>6222.255319148936</v>
      </c>
      <c r="AB43" s="169" t="s">
        <v>133</v>
      </c>
      <c r="AC43" s="169" t="s">
        <v>133</v>
      </c>
      <c r="AD43" s="173">
        <f t="shared" si="12"/>
        <v>2515.44</v>
      </c>
      <c r="AE43" s="169" t="s">
        <v>133</v>
      </c>
      <c r="AF43" s="173">
        <f t="shared" si="12"/>
        <v>1955.5</v>
      </c>
      <c r="AG43" s="169" t="s">
        <v>133</v>
      </c>
      <c r="AH43" s="169" t="s">
        <v>133</v>
      </c>
      <c r="AI43" s="169" t="s">
        <v>133</v>
      </c>
      <c r="AJ43" s="169" t="s">
        <v>133</v>
      </c>
      <c r="AK43" s="173">
        <f t="shared" si="12"/>
        <v>2806.5357142857142</v>
      </c>
      <c r="AL43" s="173">
        <f t="shared" si="12"/>
        <v>648.74545454545455</v>
      </c>
      <c r="AM43" s="169" t="s">
        <v>133</v>
      </c>
      <c r="AN43" s="173">
        <f t="shared" si="12"/>
        <v>1452</v>
      </c>
      <c r="AO43" s="169" t="s">
        <v>133</v>
      </c>
      <c r="AP43" s="169" t="s">
        <v>133</v>
      </c>
      <c r="AQ43" s="169" t="s">
        <v>133</v>
      </c>
      <c r="AR43" s="173">
        <f t="shared" si="12"/>
        <v>159.5</v>
      </c>
      <c r="AS43" s="169" t="s">
        <v>133</v>
      </c>
      <c r="AT43" s="169" t="s">
        <v>133</v>
      </c>
      <c r="AU43" s="169" t="s">
        <v>133</v>
      </c>
      <c r="AV43" s="173">
        <f t="shared" si="12"/>
        <v>223</v>
      </c>
      <c r="AW43" s="169" t="s">
        <v>133</v>
      </c>
      <c r="AX43" s="173">
        <f t="shared" si="12"/>
        <v>81</v>
      </c>
      <c r="AY43" s="169" t="s">
        <v>133</v>
      </c>
      <c r="AZ43" s="169" t="s">
        <v>133</v>
      </c>
      <c r="BA43" s="174">
        <f t="shared" si="12"/>
        <v>2279.2194511771045</v>
      </c>
    </row>
    <row r="44" spans="1:59" s="186" customFormat="1" ht="50.25" customHeight="1" thickBot="1" x14ac:dyDescent="0.35">
      <c r="A44" s="281"/>
      <c r="B44" s="208" t="s">
        <v>239</v>
      </c>
      <c r="C44" s="173" t="s">
        <v>128</v>
      </c>
      <c r="D44" s="173" t="s">
        <v>240</v>
      </c>
      <c r="E44" s="208" t="s">
        <v>241</v>
      </c>
      <c r="F44" s="237">
        <v>0.25</v>
      </c>
      <c r="G44" s="238" t="s">
        <v>133</v>
      </c>
      <c r="H44" s="238" t="s">
        <v>133</v>
      </c>
      <c r="I44" s="238" t="s">
        <v>133</v>
      </c>
      <c r="J44" s="238" t="s">
        <v>133</v>
      </c>
      <c r="K44" s="238" t="s">
        <v>133</v>
      </c>
      <c r="L44" s="238" t="s">
        <v>133</v>
      </c>
      <c r="M44" s="238" t="s">
        <v>133</v>
      </c>
      <c r="N44" s="238" t="s">
        <v>133</v>
      </c>
      <c r="O44" s="238" t="s">
        <v>133</v>
      </c>
      <c r="P44" s="237">
        <v>0.5</v>
      </c>
      <c r="Q44" s="237">
        <v>0.75</v>
      </c>
      <c r="R44" s="237">
        <v>0.25</v>
      </c>
      <c r="S44" s="238" t="s">
        <v>133</v>
      </c>
      <c r="T44" s="238" t="s">
        <v>133</v>
      </c>
      <c r="U44" s="237">
        <v>0.25</v>
      </c>
      <c r="V44" s="237">
        <v>0.25</v>
      </c>
      <c r="W44" s="238" t="s">
        <v>133</v>
      </c>
      <c r="X44" s="237">
        <v>0.5</v>
      </c>
      <c r="Y44" s="238" t="s">
        <v>133</v>
      </c>
      <c r="Z44" s="238" t="s">
        <v>133</v>
      </c>
      <c r="AA44" s="237">
        <v>0.25</v>
      </c>
      <c r="AB44" s="238" t="s">
        <v>133</v>
      </c>
      <c r="AC44" s="238" t="s">
        <v>133</v>
      </c>
      <c r="AD44" s="237">
        <v>0.5</v>
      </c>
      <c r="AE44" s="238" t="s">
        <v>133</v>
      </c>
      <c r="AF44" s="237">
        <v>0.5</v>
      </c>
      <c r="AG44" s="238" t="s">
        <v>133</v>
      </c>
      <c r="AH44" s="238" t="s">
        <v>133</v>
      </c>
      <c r="AI44" s="238" t="s">
        <v>133</v>
      </c>
      <c r="AJ44" s="238" t="s">
        <v>133</v>
      </c>
      <c r="AK44" s="237">
        <v>0.5</v>
      </c>
      <c r="AL44" s="237">
        <v>1.25</v>
      </c>
      <c r="AM44" s="238" t="s">
        <v>133</v>
      </c>
      <c r="AN44" s="237">
        <v>0.5</v>
      </c>
      <c r="AO44" s="238" t="s">
        <v>133</v>
      </c>
      <c r="AP44" s="238" t="s">
        <v>133</v>
      </c>
      <c r="AQ44" s="238" t="s">
        <v>133</v>
      </c>
      <c r="AR44" s="237">
        <v>0.5</v>
      </c>
      <c r="AS44" s="238" t="s">
        <v>133</v>
      </c>
      <c r="AT44" s="238" t="s">
        <v>133</v>
      </c>
      <c r="AU44" s="238" t="s">
        <v>133</v>
      </c>
      <c r="AV44" s="237">
        <v>0.5</v>
      </c>
      <c r="AW44" s="238" t="s">
        <v>133</v>
      </c>
      <c r="AX44" s="237">
        <v>0.25</v>
      </c>
      <c r="AY44" s="238" t="s">
        <v>133</v>
      </c>
      <c r="AZ44" s="238" t="s">
        <v>133</v>
      </c>
      <c r="BA44" s="239">
        <v>7.5</v>
      </c>
    </row>
    <row r="45" spans="1:59" s="186" customFormat="1" ht="78.599999999999994" thickBot="1" x14ac:dyDescent="0.35">
      <c r="A45" s="281"/>
      <c r="B45" s="219" t="s">
        <v>243</v>
      </c>
      <c r="C45" s="172" t="s">
        <v>128</v>
      </c>
      <c r="D45" s="172" t="s">
        <v>808</v>
      </c>
      <c r="E45" s="209" t="s">
        <v>245</v>
      </c>
      <c r="F45" s="173">
        <v>1532.4</v>
      </c>
      <c r="G45" s="169" t="s">
        <v>133</v>
      </c>
      <c r="H45" s="169" t="s">
        <v>133</v>
      </c>
      <c r="I45" s="169" t="s">
        <v>133</v>
      </c>
      <c r="J45" s="169" t="s">
        <v>133</v>
      </c>
      <c r="K45" s="169" t="s">
        <v>133</v>
      </c>
      <c r="L45" s="169" t="s">
        <v>133</v>
      </c>
      <c r="M45" s="169" t="s">
        <v>133</v>
      </c>
      <c r="N45" s="169" t="s">
        <v>133</v>
      </c>
      <c r="O45" s="169" t="s">
        <v>133</v>
      </c>
      <c r="P45" s="173">
        <v>1525.0219298245613</v>
      </c>
      <c r="Q45" s="173">
        <v>1627.840909090909</v>
      </c>
      <c r="R45" s="173">
        <v>1124.5</v>
      </c>
      <c r="S45" s="169" t="s">
        <v>133</v>
      </c>
      <c r="T45" s="169" t="s">
        <v>133</v>
      </c>
      <c r="U45" s="173">
        <v>444.875</v>
      </c>
      <c r="V45" s="173">
        <v>2132.7142857142858</v>
      </c>
      <c r="W45" s="169" t="s">
        <v>133</v>
      </c>
      <c r="X45" s="173">
        <v>1529.8457446808511</v>
      </c>
      <c r="Y45" s="169" t="s">
        <v>133</v>
      </c>
      <c r="Z45" s="169" t="s">
        <v>133</v>
      </c>
      <c r="AA45" s="173">
        <v>1529.8457446808511</v>
      </c>
      <c r="AB45" s="169" t="s">
        <v>133</v>
      </c>
      <c r="AC45" s="169" t="s">
        <v>133</v>
      </c>
      <c r="AD45" s="173">
        <v>1227.28</v>
      </c>
      <c r="AE45" s="169" t="s">
        <v>133</v>
      </c>
      <c r="AF45" s="173">
        <v>969.75</v>
      </c>
      <c r="AG45" s="169" t="s">
        <v>133</v>
      </c>
      <c r="AH45" s="169" t="s">
        <v>133</v>
      </c>
      <c r="AI45" s="169" t="s">
        <v>133</v>
      </c>
      <c r="AJ45" s="169" t="s">
        <v>133</v>
      </c>
      <c r="AK45" s="173">
        <v>1367.0714285714287</v>
      </c>
      <c r="AL45" s="173">
        <v>790.43181818181813</v>
      </c>
      <c r="AM45" s="169" t="s">
        <v>133</v>
      </c>
      <c r="AN45" s="173">
        <v>625.20000000000005</v>
      </c>
      <c r="AO45" s="169" t="s">
        <v>133</v>
      </c>
      <c r="AP45" s="169" t="s">
        <v>133</v>
      </c>
      <c r="AQ45" s="169" t="s">
        <v>133</v>
      </c>
      <c r="AR45" s="173">
        <v>79.75</v>
      </c>
      <c r="AS45" s="169" t="s">
        <v>133</v>
      </c>
      <c r="AT45" s="169" t="s">
        <v>133</v>
      </c>
      <c r="AU45" s="169" t="s">
        <v>133</v>
      </c>
      <c r="AV45" s="173">
        <v>110</v>
      </c>
      <c r="AW45" s="169" t="s">
        <v>133</v>
      </c>
      <c r="AX45" s="173">
        <v>19.25</v>
      </c>
      <c r="AY45" s="169" t="s">
        <v>133</v>
      </c>
      <c r="AZ45" s="169" t="s">
        <v>133</v>
      </c>
      <c r="BA45" s="174">
        <v>16635.776860744707</v>
      </c>
      <c r="BG45" s="187"/>
    </row>
    <row r="46" spans="1:59" s="186" customFormat="1" ht="78.599999999999994" thickBot="1" x14ac:dyDescent="0.35">
      <c r="A46" s="281"/>
      <c r="B46" s="219" t="s">
        <v>247</v>
      </c>
      <c r="C46" s="172" t="s">
        <v>128</v>
      </c>
      <c r="D46" s="172" t="s">
        <v>809</v>
      </c>
      <c r="E46" s="208" t="s">
        <v>249</v>
      </c>
      <c r="F46" s="173">
        <v>1558</v>
      </c>
      <c r="G46" s="169" t="s">
        <v>133</v>
      </c>
      <c r="H46" s="169" t="s">
        <v>133</v>
      </c>
      <c r="I46" s="169" t="s">
        <v>133</v>
      </c>
      <c r="J46" s="169" t="s">
        <v>133</v>
      </c>
      <c r="K46" s="169" t="s">
        <v>133</v>
      </c>
      <c r="L46" s="169" t="s">
        <v>133</v>
      </c>
      <c r="M46" s="169" t="s">
        <v>133</v>
      </c>
      <c r="N46" s="169" t="s">
        <v>133</v>
      </c>
      <c r="O46" s="169" t="s">
        <v>133</v>
      </c>
      <c r="P46" s="173">
        <v>1553.2236842105262</v>
      </c>
      <c r="Q46" s="173">
        <v>1660.909090909091</v>
      </c>
      <c r="R46" s="173">
        <v>1169.78125</v>
      </c>
      <c r="S46" s="169" t="s">
        <v>133</v>
      </c>
      <c r="T46" s="169" t="s">
        <v>133</v>
      </c>
      <c r="U46" s="173">
        <v>449.125</v>
      </c>
      <c r="V46" s="173">
        <v>2204.8095238095239</v>
      </c>
      <c r="W46" s="169" t="s">
        <v>133</v>
      </c>
      <c r="X46" s="173">
        <v>1555.563829787234</v>
      </c>
      <c r="Y46" s="169" t="s">
        <v>133</v>
      </c>
      <c r="Z46" s="169" t="s">
        <v>133</v>
      </c>
      <c r="AA46" s="173">
        <v>1555.563829787234</v>
      </c>
      <c r="AB46" s="169" t="s">
        <v>133</v>
      </c>
      <c r="AC46" s="169" t="s">
        <v>133</v>
      </c>
      <c r="AD46" s="173">
        <v>1257.72</v>
      </c>
      <c r="AE46" s="169" t="s">
        <v>133</v>
      </c>
      <c r="AF46" s="173">
        <v>977.75</v>
      </c>
      <c r="AG46" s="169" t="s">
        <v>133</v>
      </c>
      <c r="AH46" s="169" t="s">
        <v>133</v>
      </c>
      <c r="AI46" s="169" t="s">
        <v>133</v>
      </c>
      <c r="AJ46" s="169" t="s">
        <v>133</v>
      </c>
      <c r="AK46" s="173">
        <v>1403.2678571428571</v>
      </c>
      <c r="AL46" s="173">
        <v>810.93181818181813</v>
      </c>
      <c r="AM46" s="169" t="s">
        <v>133</v>
      </c>
      <c r="AN46" s="173">
        <v>726</v>
      </c>
      <c r="AO46" s="169" t="s">
        <v>133</v>
      </c>
      <c r="AP46" s="169" t="s">
        <v>133</v>
      </c>
      <c r="AQ46" s="169" t="s">
        <v>133</v>
      </c>
      <c r="AR46" s="173">
        <v>79.75</v>
      </c>
      <c r="AS46" s="169" t="s">
        <v>133</v>
      </c>
      <c r="AT46" s="169" t="s">
        <v>133</v>
      </c>
      <c r="AU46" s="169" t="s">
        <v>133</v>
      </c>
      <c r="AV46" s="173">
        <v>111.5</v>
      </c>
      <c r="AW46" s="169" t="s">
        <v>133</v>
      </c>
      <c r="AX46" s="173">
        <v>20.25</v>
      </c>
      <c r="AY46" s="169" t="s">
        <v>133</v>
      </c>
      <c r="AZ46" s="169" t="s">
        <v>133</v>
      </c>
      <c r="BA46" s="174">
        <v>17094.145883828285</v>
      </c>
      <c r="BG46" s="187"/>
    </row>
    <row r="47" spans="1:59" s="185" customFormat="1" ht="63" thickBot="1" x14ac:dyDescent="0.35">
      <c r="A47" s="281"/>
      <c r="B47" s="206" t="s">
        <v>251</v>
      </c>
      <c r="C47" s="171" t="s">
        <v>128</v>
      </c>
      <c r="D47" s="171" t="s">
        <v>252</v>
      </c>
      <c r="E47" s="210" t="s">
        <v>253</v>
      </c>
      <c r="F47" s="180">
        <v>120878.88</v>
      </c>
      <c r="G47" s="180" t="s">
        <v>133</v>
      </c>
      <c r="H47" s="180" t="s">
        <v>133</v>
      </c>
      <c r="I47" s="180" t="s">
        <v>133</v>
      </c>
      <c r="J47" s="180" t="s">
        <v>133</v>
      </c>
      <c r="K47" s="180" t="s">
        <v>133</v>
      </c>
      <c r="L47" s="180" t="s">
        <v>133</v>
      </c>
      <c r="M47" s="180" t="s">
        <v>133</v>
      </c>
      <c r="N47" s="180" t="s">
        <v>133</v>
      </c>
      <c r="O47" s="180" t="s">
        <v>133</v>
      </c>
      <c r="P47" s="180">
        <v>739835.8899999999</v>
      </c>
      <c r="Q47" s="180">
        <v>362571.49</v>
      </c>
      <c r="R47" s="180">
        <v>156149.93</v>
      </c>
      <c r="S47" s="180" t="s">
        <v>133</v>
      </c>
      <c r="T47" s="180" t="s">
        <v>133</v>
      </c>
      <c r="U47" s="180">
        <v>303880.36</v>
      </c>
      <c r="V47" s="180">
        <v>410693.26</v>
      </c>
      <c r="W47" s="180" t="s">
        <v>133</v>
      </c>
      <c r="X47" s="180">
        <v>302408.2</v>
      </c>
      <c r="Y47" s="180" t="s">
        <v>133</v>
      </c>
      <c r="Z47" s="180" t="s">
        <v>133</v>
      </c>
      <c r="AA47" s="180">
        <v>100461.76000000001</v>
      </c>
      <c r="AB47" s="180" t="s">
        <v>133</v>
      </c>
      <c r="AC47" s="180" t="s">
        <v>133</v>
      </c>
      <c r="AD47" s="180">
        <v>185691.63</v>
      </c>
      <c r="AE47" s="180" t="s">
        <v>133</v>
      </c>
      <c r="AF47" s="180">
        <v>309205.55000000005</v>
      </c>
      <c r="AG47" s="180" t="s">
        <v>133</v>
      </c>
      <c r="AH47" s="180" t="s">
        <v>133</v>
      </c>
      <c r="AI47" s="180" t="s">
        <v>133</v>
      </c>
      <c r="AJ47" s="180" t="s">
        <v>133</v>
      </c>
      <c r="AK47" s="180">
        <v>301960.7</v>
      </c>
      <c r="AL47" s="180">
        <v>520608.39</v>
      </c>
      <c r="AM47" s="180" t="s">
        <v>133</v>
      </c>
      <c r="AN47" s="180">
        <v>241301.96999999997</v>
      </c>
      <c r="AO47" s="180" t="s">
        <v>133</v>
      </c>
      <c r="AP47" s="180" t="s">
        <v>133</v>
      </c>
      <c r="AQ47" s="180" t="s">
        <v>133</v>
      </c>
      <c r="AR47" s="180">
        <v>179369.09</v>
      </c>
      <c r="AS47" s="180" t="s">
        <v>133</v>
      </c>
      <c r="AT47" s="180" t="s">
        <v>133</v>
      </c>
      <c r="AU47" s="180" t="s">
        <v>133</v>
      </c>
      <c r="AV47" s="180">
        <v>329190.98</v>
      </c>
      <c r="AW47" s="180" t="s">
        <v>133</v>
      </c>
      <c r="AX47" s="180">
        <v>307553.05000000005</v>
      </c>
      <c r="AY47" s="180" t="s">
        <v>133</v>
      </c>
      <c r="AZ47" s="180" t="s">
        <v>133</v>
      </c>
      <c r="BA47" s="180">
        <v>4871761.13</v>
      </c>
      <c r="BG47" s="188"/>
    </row>
    <row r="48" spans="1:59" s="189" customFormat="1" ht="63" thickBot="1" x14ac:dyDescent="0.35">
      <c r="A48" s="282"/>
      <c r="B48" s="220" t="s">
        <v>255</v>
      </c>
      <c r="C48" s="175" t="s">
        <v>128</v>
      </c>
      <c r="D48" s="176" t="s">
        <v>256</v>
      </c>
      <c r="E48" s="211" t="s">
        <v>257</v>
      </c>
      <c r="F48" s="173">
        <v>273</v>
      </c>
      <c r="G48" s="169" t="s">
        <v>133</v>
      </c>
      <c r="H48" s="169" t="s">
        <v>133</v>
      </c>
      <c r="I48" s="169" t="s">
        <v>133</v>
      </c>
      <c r="J48" s="169" t="s">
        <v>133</v>
      </c>
      <c r="K48" s="169" t="s">
        <v>133</v>
      </c>
      <c r="L48" s="169" t="s">
        <v>133</v>
      </c>
      <c r="M48" s="169" t="s">
        <v>133</v>
      </c>
      <c r="N48" s="169" t="s">
        <v>133</v>
      </c>
      <c r="O48" s="169" t="s">
        <v>133</v>
      </c>
      <c r="P48" s="173">
        <v>437.5</v>
      </c>
      <c r="Q48" s="173">
        <v>527.33333333333337</v>
      </c>
      <c r="R48" s="173">
        <v>428</v>
      </c>
      <c r="S48" s="169" t="s">
        <v>133</v>
      </c>
      <c r="T48" s="169" t="s">
        <v>133</v>
      </c>
      <c r="U48" s="173">
        <v>825</v>
      </c>
      <c r="V48" s="173">
        <v>1028</v>
      </c>
      <c r="W48" s="169" t="s">
        <v>133</v>
      </c>
      <c r="X48" s="173">
        <v>398</v>
      </c>
      <c r="Y48" s="169" t="s">
        <v>133</v>
      </c>
      <c r="Z48" s="169" t="s">
        <v>133</v>
      </c>
      <c r="AA48" s="173">
        <v>272</v>
      </c>
      <c r="AB48" s="169" t="s">
        <v>133</v>
      </c>
      <c r="AC48" s="169" t="s">
        <v>133</v>
      </c>
      <c r="AD48" s="173">
        <v>393</v>
      </c>
      <c r="AE48" s="169" t="s">
        <v>133</v>
      </c>
      <c r="AF48" s="173">
        <v>1489.5</v>
      </c>
      <c r="AG48" s="169" t="s">
        <v>133</v>
      </c>
      <c r="AH48" s="169" t="s">
        <v>133</v>
      </c>
      <c r="AI48" s="169" t="s">
        <v>133</v>
      </c>
      <c r="AJ48" s="169" t="s">
        <v>133</v>
      </c>
      <c r="AK48" s="173">
        <v>347</v>
      </c>
      <c r="AL48" s="173">
        <v>355.6</v>
      </c>
      <c r="AM48" s="169" t="s">
        <v>133</v>
      </c>
      <c r="AN48" s="173">
        <v>449</v>
      </c>
      <c r="AO48" s="169" t="s">
        <v>133</v>
      </c>
      <c r="AP48" s="169" t="s">
        <v>133</v>
      </c>
      <c r="AQ48" s="169" t="s">
        <v>133</v>
      </c>
      <c r="AR48" s="173">
        <v>682.5</v>
      </c>
      <c r="AS48" s="169" t="s">
        <v>133</v>
      </c>
      <c r="AT48" s="169" t="s">
        <v>133</v>
      </c>
      <c r="AU48" s="169" t="s">
        <v>133</v>
      </c>
      <c r="AV48" s="173">
        <v>423</v>
      </c>
      <c r="AW48" s="169" t="s">
        <v>133</v>
      </c>
      <c r="AX48" s="173">
        <v>1014</v>
      </c>
      <c r="AY48" s="169" t="s">
        <v>133</v>
      </c>
      <c r="AZ48" s="169" t="s">
        <v>133</v>
      </c>
      <c r="BA48" s="174">
        <f>AVERAGE(F48:AX48)</f>
        <v>583.90208333333339</v>
      </c>
      <c r="BC48" s="187"/>
      <c r="BD48" s="187"/>
      <c r="BE48" s="187"/>
      <c r="BG48" s="187"/>
    </row>
    <row r="49" spans="8:54" ht="15.6" x14ac:dyDescent="0.3">
      <c r="H49" s="165"/>
      <c r="I49" s="167"/>
      <c r="J49" s="167"/>
      <c r="K49" s="166"/>
      <c r="L49" s="165"/>
      <c r="M49" s="166"/>
      <c r="BB49" s="164"/>
    </row>
    <row r="50" spans="8:54" ht="15.6" x14ac:dyDescent="0.3">
      <c r="H50" s="165"/>
      <c r="I50" s="167"/>
      <c r="J50" s="167"/>
      <c r="K50" s="166"/>
      <c r="L50" s="165"/>
      <c r="M50" s="166"/>
      <c r="BB50" s="164"/>
    </row>
    <row r="51" spans="8:54" ht="15.6" x14ac:dyDescent="0.3">
      <c r="H51" s="165"/>
      <c r="I51" s="167"/>
      <c r="J51" s="167"/>
      <c r="BB51" s="164"/>
    </row>
    <row r="52" spans="8:54" ht="15.6" x14ac:dyDescent="0.3">
      <c r="H52" s="165"/>
      <c r="I52" s="167"/>
      <c r="J52" s="167"/>
      <c r="BB52" s="164"/>
    </row>
    <row r="53" spans="8:54" ht="15.6" x14ac:dyDescent="0.3">
      <c r="H53" s="165"/>
      <c r="I53" s="167"/>
      <c r="J53" s="167"/>
      <c r="BB53" s="164"/>
    </row>
    <row r="54" spans="8:54" ht="15.6" x14ac:dyDescent="0.3">
      <c r="H54" s="165"/>
      <c r="I54" s="167"/>
      <c r="J54" s="167"/>
      <c r="BB54" s="164"/>
    </row>
    <row r="55" spans="8:54" ht="15.6" x14ac:dyDescent="0.3">
      <c r="H55" s="165"/>
      <c r="I55" s="167"/>
      <c r="J55" s="167"/>
      <c r="AH55" s="165"/>
      <c r="BB55" s="164"/>
    </row>
    <row r="56" spans="8:54" ht="15.6" x14ac:dyDescent="0.3">
      <c r="H56" s="165"/>
      <c r="I56" s="167"/>
      <c r="J56" s="167"/>
      <c r="BB56" s="164"/>
    </row>
    <row r="57" spans="8:54" ht="15.6" x14ac:dyDescent="0.3">
      <c r="J57" s="167"/>
      <c r="BB57" s="164"/>
    </row>
    <row r="58" spans="8:54" ht="15.6" x14ac:dyDescent="0.3">
      <c r="J58" s="167"/>
      <c r="BB58" s="164"/>
    </row>
    <row r="59" spans="8:54" ht="15.6" x14ac:dyDescent="0.3">
      <c r="J59" s="167"/>
      <c r="BB59" s="164"/>
    </row>
    <row r="60" spans="8:54" ht="15.6" x14ac:dyDescent="0.3">
      <c r="J60" s="167"/>
      <c r="BB60" s="164"/>
    </row>
    <row r="61" spans="8:54" ht="15.6" x14ac:dyDescent="0.3">
      <c r="J61" s="167"/>
      <c r="BB61" s="164"/>
    </row>
    <row r="62" spans="8:54" ht="15.6" x14ac:dyDescent="0.3">
      <c r="J62" s="167"/>
      <c r="BB62" s="164"/>
    </row>
    <row r="63" spans="8:54" ht="15.6" x14ac:dyDescent="0.3">
      <c r="J63" s="167"/>
      <c r="BB63" s="164"/>
    </row>
    <row r="64" spans="8:54" ht="15.6" x14ac:dyDescent="0.3">
      <c r="J64" s="167"/>
      <c r="BB64" s="164"/>
    </row>
    <row r="65" spans="10:54" ht="15.6" x14ac:dyDescent="0.3">
      <c r="J65" s="167"/>
      <c r="BB65" s="164"/>
    </row>
    <row r="66" spans="10:54" ht="15.6" x14ac:dyDescent="0.3">
      <c r="J66" s="167"/>
      <c r="BB66" s="164"/>
    </row>
    <row r="67" spans="10:54" ht="15.6" x14ac:dyDescent="0.3"/>
    <row r="68" spans="10:54" ht="15.6" x14ac:dyDescent="0.3"/>
    <row r="69" spans="10:54" ht="15.6" x14ac:dyDescent="0.3"/>
    <row r="70" spans="10:54" ht="15.6" x14ac:dyDescent="0.3"/>
    <row r="71" spans="10:54" ht="15.6" x14ac:dyDescent="0.3"/>
  </sheetData>
  <mergeCells count="7">
    <mergeCell ref="A23:A35"/>
    <mergeCell ref="A39:A48"/>
    <mergeCell ref="F4:AX4"/>
    <mergeCell ref="AY4:AZ4"/>
    <mergeCell ref="A6:A7"/>
    <mergeCell ref="A9:A15"/>
    <mergeCell ref="A17:A21"/>
  </mergeCells>
  <printOptions horizontalCentered="1"/>
  <pageMargins left="0.25" right="0.25" top="0.75" bottom="0.75" header="0.3" footer="0.3"/>
  <pageSetup paperSize="3" scale="15" fitToHeight="0"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24E7B0-28D9-48A5-A0B6-B01631C166A1}">
  <sheetPr>
    <pageSetUpPr fitToPage="1"/>
  </sheetPr>
  <dimension ref="A1:M610"/>
  <sheetViews>
    <sheetView zoomScale="90" zoomScaleNormal="90" workbookViewId="0">
      <selection activeCell="A4" sqref="A4"/>
    </sheetView>
  </sheetViews>
  <sheetFormatPr defaultColWidth="8.6640625" defaultRowHeight="15.75" customHeight="1" x14ac:dyDescent="0.3"/>
  <cols>
    <col min="1" max="1" width="16.109375" style="10" customWidth="1"/>
    <col min="2" max="2" width="19.6640625" style="10" customWidth="1"/>
    <col min="3" max="5" width="22.109375" style="10" customWidth="1"/>
    <col min="6" max="6" width="41.6640625" style="25" customWidth="1"/>
    <col min="7" max="9" width="22.109375" style="10" customWidth="1"/>
    <col min="10" max="10" width="28.109375" style="10" customWidth="1"/>
    <col min="11" max="11" width="27.109375" style="10" customWidth="1"/>
    <col min="12" max="12" width="41" style="10" customWidth="1"/>
    <col min="13" max="13" width="22.109375" style="10" customWidth="1"/>
    <col min="14" max="16384" width="8.6640625" style="10"/>
  </cols>
  <sheetData>
    <row r="1" spans="1:13" ht="15.75" customHeight="1" x14ac:dyDescent="0.3">
      <c r="A1" s="1" t="s">
        <v>810</v>
      </c>
    </row>
    <row r="2" spans="1:13" ht="15.75" customHeight="1" x14ac:dyDescent="0.3">
      <c r="A2" s="1" t="s">
        <v>756</v>
      </c>
    </row>
    <row r="3" spans="1:13" ht="15.75" customHeight="1" x14ac:dyDescent="0.3">
      <c r="A3" s="1" t="s">
        <v>79</v>
      </c>
    </row>
    <row r="4" spans="1:13" ht="15.75" customHeight="1" thickBot="1" x14ac:dyDescent="0.35"/>
    <row r="5" spans="1:13" s="1" customFormat="1" ht="16.2" thickBot="1" x14ac:dyDescent="0.35">
      <c r="A5" s="221" t="s">
        <v>262</v>
      </c>
      <c r="B5" s="222" t="s">
        <v>263</v>
      </c>
      <c r="C5" s="222" t="s">
        <v>264</v>
      </c>
      <c r="D5" s="222" t="s">
        <v>265</v>
      </c>
      <c r="E5" s="222" t="s">
        <v>266</v>
      </c>
      <c r="F5" s="222" t="s">
        <v>267</v>
      </c>
      <c r="G5" s="222" t="s">
        <v>268</v>
      </c>
      <c r="H5" s="222" t="s">
        <v>269</v>
      </c>
      <c r="I5" s="222" t="s">
        <v>270</v>
      </c>
      <c r="J5" s="222" t="s">
        <v>271</v>
      </c>
      <c r="K5" s="222" t="s">
        <v>272</v>
      </c>
      <c r="L5" s="222" t="s">
        <v>273</v>
      </c>
      <c r="M5" s="222" t="s">
        <v>274</v>
      </c>
    </row>
    <row r="6" spans="1:13" ht="51" customHeight="1" thickBot="1" x14ac:dyDescent="0.35">
      <c r="A6" s="205" t="s">
        <v>275</v>
      </c>
      <c r="B6" s="215" t="s">
        <v>276</v>
      </c>
      <c r="C6" s="223" t="s">
        <v>277</v>
      </c>
      <c r="D6" s="223" t="s">
        <v>278</v>
      </c>
      <c r="E6" s="215" t="s">
        <v>59</v>
      </c>
      <c r="F6" s="215" t="s">
        <v>279</v>
      </c>
      <c r="G6" s="215" t="s">
        <v>280</v>
      </c>
      <c r="H6" s="215" t="s">
        <v>281</v>
      </c>
      <c r="I6" s="215" t="s">
        <v>282</v>
      </c>
      <c r="J6" s="215" t="s">
        <v>283</v>
      </c>
      <c r="K6" s="215" t="s">
        <v>284</v>
      </c>
      <c r="L6" s="215" t="s">
        <v>285</v>
      </c>
      <c r="M6" s="215" t="s">
        <v>286</v>
      </c>
    </row>
    <row r="7" spans="1:13" ht="147" customHeight="1" thickBot="1" x14ac:dyDescent="0.35">
      <c r="A7" s="205" t="s">
        <v>53</v>
      </c>
      <c r="B7" s="201" t="s">
        <v>287</v>
      </c>
      <c r="C7" s="201" t="s">
        <v>288</v>
      </c>
      <c r="D7" s="201" t="s">
        <v>289</v>
      </c>
      <c r="E7" s="201" t="s">
        <v>290</v>
      </c>
      <c r="F7" s="201" t="s">
        <v>811</v>
      </c>
      <c r="G7" s="201" t="s">
        <v>292</v>
      </c>
      <c r="H7" s="201" t="s">
        <v>293</v>
      </c>
      <c r="I7" s="201" t="s">
        <v>294</v>
      </c>
      <c r="J7" s="201" t="s">
        <v>295</v>
      </c>
      <c r="K7" s="201" t="s">
        <v>296</v>
      </c>
      <c r="L7" s="201" t="s">
        <v>812</v>
      </c>
      <c r="M7" s="201" t="s">
        <v>298</v>
      </c>
    </row>
    <row r="8" spans="1:13" ht="47.4" thickBot="1" x14ac:dyDescent="0.35">
      <c r="A8" s="215"/>
      <c r="B8" s="224">
        <v>41001</v>
      </c>
      <c r="C8" s="226">
        <v>3456</v>
      </c>
      <c r="D8" s="226">
        <v>3469</v>
      </c>
      <c r="E8" s="226">
        <v>1</v>
      </c>
      <c r="F8" s="225"/>
      <c r="G8" s="215" t="s">
        <v>813</v>
      </c>
      <c r="H8" s="226">
        <v>3456</v>
      </c>
      <c r="I8" s="226">
        <v>3469</v>
      </c>
      <c r="J8" s="226">
        <v>3187</v>
      </c>
      <c r="K8" s="226">
        <v>0</v>
      </c>
      <c r="L8" s="215" t="s">
        <v>814</v>
      </c>
      <c r="M8" s="215" t="s">
        <v>815</v>
      </c>
    </row>
    <row r="9" spans="1:13" ht="47.4" thickBot="1" x14ac:dyDescent="0.35">
      <c r="A9" s="215"/>
      <c r="B9" s="224">
        <v>41002</v>
      </c>
      <c r="C9" s="226">
        <v>2119</v>
      </c>
      <c r="D9" s="226">
        <v>2148</v>
      </c>
      <c r="E9" s="226">
        <v>1</v>
      </c>
      <c r="F9" s="225" t="s">
        <v>816</v>
      </c>
      <c r="G9" s="215" t="s">
        <v>813</v>
      </c>
      <c r="H9" s="226">
        <v>2119</v>
      </c>
      <c r="I9" s="226">
        <v>2148</v>
      </c>
      <c r="J9" s="226">
        <v>1871</v>
      </c>
      <c r="K9" s="226">
        <v>0</v>
      </c>
      <c r="L9" s="215" t="s">
        <v>817</v>
      </c>
      <c r="M9" s="215" t="s">
        <v>818</v>
      </c>
    </row>
    <row r="10" spans="1:13" ht="78.599999999999994" thickBot="1" x14ac:dyDescent="0.35">
      <c r="A10" s="215"/>
      <c r="B10" s="224">
        <v>41003</v>
      </c>
      <c r="C10" s="226">
        <v>2925</v>
      </c>
      <c r="D10" s="226">
        <v>3681</v>
      </c>
      <c r="E10" s="226">
        <v>1</v>
      </c>
      <c r="F10" s="225"/>
      <c r="G10" s="215" t="s">
        <v>813</v>
      </c>
      <c r="H10" s="226">
        <v>2925</v>
      </c>
      <c r="I10" s="226">
        <v>3681</v>
      </c>
      <c r="J10" s="226">
        <v>3109</v>
      </c>
      <c r="K10" s="226">
        <v>0</v>
      </c>
      <c r="L10" s="215" t="s">
        <v>817</v>
      </c>
      <c r="M10" s="215" t="s">
        <v>819</v>
      </c>
    </row>
    <row r="11" spans="1:13" ht="31.8" thickBot="1" x14ac:dyDescent="0.35">
      <c r="A11" s="215"/>
      <c r="B11" s="224">
        <v>41004</v>
      </c>
      <c r="C11" s="226">
        <v>77</v>
      </c>
      <c r="D11" s="226">
        <v>81</v>
      </c>
      <c r="E11" s="226">
        <v>1</v>
      </c>
      <c r="F11" s="225"/>
      <c r="G11" s="215" t="s">
        <v>813</v>
      </c>
      <c r="H11" s="226">
        <v>77</v>
      </c>
      <c r="I11" s="226">
        <v>81</v>
      </c>
      <c r="J11" s="226">
        <v>72</v>
      </c>
      <c r="K11" s="226">
        <v>0</v>
      </c>
      <c r="L11" s="215" t="s">
        <v>817</v>
      </c>
      <c r="M11" s="215" t="s">
        <v>820</v>
      </c>
    </row>
    <row r="12" spans="1:13" ht="16.2" thickBot="1" x14ac:dyDescent="0.35">
      <c r="A12" s="215"/>
      <c r="B12" s="224">
        <v>41006</v>
      </c>
      <c r="C12" s="226">
        <v>37</v>
      </c>
      <c r="D12" s="226">
        <v>37</v>
      </c>
      <c r="E12" s="226">
        <v>1</v>
      </c>
      <c r="F12" s="225"/>
      <c r="G12" s="215" t="s">
        <v>813</v>
      </c>
      <c r="H12" s="226">
        <v>37</v>
      </c>
      <c r="I12" s="226">
        <v>37</v>
      </c>
      <c r="J12" s="226">
        <v>35</v>
      </c>
      <c r="K12" s="226">
        <v>0</v>
      </c>
      <c r="L12" s="215" t="s">
        <v>817</v>
      </c>
      <c r="M12" s="215">
        <v>6071010432</v>
      </c>
    </row>
    <row r="13" spans="1:13" ht="16.2" thickBot="1" x14ac:dyDescent="0.35">
      <c r="A13" s="215"/>
      <c r="B13" s="224">
        <v>41007</v>
      </c>
      <c r="C13" s="226">
        <v>54</v>
      </c>
      <c r="D13" s="226">
        <v>55</v>
      </c>
      <c r="E13" s="226">
        <v>1</v>
      </c>
      <c r="F13" s="225" t="s">
        <v>821</v>
      </c>
      <c r="G13" s="215" t="s">
        <v>813</v>
      </c>
      <c r="H13" s="226">
        <v>54</v>
      </c>
      <c r="I13" s="226">
        <v>55</v>
      </c>
      <c r="J13" s="226">
        <v>36</v>
      </c>
      <c r="K13" s="226">
        <v>0</v>
      </c>
      <c r="L13" s="215" t="s">
        <v>822</v>
      </c>
      <c r="M13" s="215">
        <v>6071009133</v>
      </c>
    </row>
    <row r="14" spans="1:13" ht="47.4" thickBot="1" x14ac:dyDescent="0.35">
      <c r="A14" s="215"/>
      <c r="B14" s="224">
        <v>41009</v>
      </c>
      <c r="C14" s="226">
        <v>2695</v>
      </c>
      <c r="D14" s="226">
        <v>2706</v>
      </c>
      <c r="E14" s="226">
        <v>2</v>
      </c>
      <c r="F14" s="225"/>
      <c r="G14" s="215" t="s">
        <v>813</v>
      </c>
      <c r="H14" s="226">
        <v>5389</v>
      </c>
      <c r="I14" s="226">
        <v>5411</v>
      </c>
      <c r="J14" s="226">
        <v>5310</v>
      </c>
      <c r="K14" s="226">
        <v>0</v>
      </c>
      <c r="L14" s="215" t="s">
        <v>823</v>
      </c>
      <c r="M14" s="215" t="s">
        <v>824</v>
      </c>
    </row>
    <row r="15" spans="1:13" ht="109.8" thickBot="1" x14ac:dyDescent="0.35">
      <c r="A15" s="215"/>
      <c r="B15" s="224">
        <v>41010</v>
      </c>
      <c r="C15" s="226">
        <v>2206</v>
      </c>
      <c r="D15" s="226">
        <v>2656</v>
      </c>
      <c r="E15" s="226">
        <v>2</v>
      </c>
      <c r="F15" s="225"/>
      <c r="G15" s="215" t="s">
        <v>813</v>
      </c>
      <c r="H15" s="226">
        <v>4412</v>
      </c>
      <c r="I15" s="226">
        <v>5312</v>
      </c>
      <c r="J15" s="226">
        <v>4038</v>
      </c>
      <c r="K15" s="226">
        <v>1</v>
      </c>
      <c r="L15" s="215" t="s">
        <v>825</v>
      </c>
      <c r="M15" s="215" t="s">
        <v>826</v>
      </c>
    </row>
    <row r="16" spans="1:13" ht="16.2" thickBot="1" x14ac:dyDescent="0.35">
      <c r="A16" s="215"/>
      <c r="B16" s="224">
        <v>41012</v>
      </c>
      <c r="C16" s="226">
        <v>243</v>
      </c>
      <c r="D16" s="226">
        <v>247</v>
      </c>
      <c r="E16" s="226">
        <v>1</v>
      </c>
      <c r="F16" s="225"/>
      <c r="G16" s="215" t="s">
        <v>813</v>
      </c>
      <c r="H16" s="226">
        <v>243</v>
      </c>
      <c r="I16" s="226">
        <v>247</v>
      </c>
      <c r="J16" s="226">
        <v>202</v>
      </c>
      <c r="K16" s="226">
        <v>0</v>
      </c>
      <c r="L16" s="215" t="s">
        <v>825</v>
      </c>
      <c r="M16" s="215">
        <v>6065047000</v>
      </c>
    </row>
    <row r="17" spans="1:13" ht="94.2" thickBot="1" x14ac:dyDescent="0.35">
      <c r="A17" s="215"/>
      <c r="B17" s="224">
        <v>41013</v>
      </c>
      <c r="C17" s="226">
        <v>3788</v>
      </c>
      <c r="D17" s="226">
        <v>4150</v>
      </c>
      <c r="E17" s="226">
        <v>2</v>
      </c>
      <c r="F17" s="225"/>
      <c r="G17" s="215" t="s">
        <v>813</v>
      </c>
      <c r="H17" s="226">
        <v>7576</v>
      </c>
      <c r="I17" s="226">
        <v>8300</v>
      </c>
      <c r="J17" s="226">
        <v>7299</v>
      </c>
      <c r="K17" s="226">
        <v>1</v>
      </c>
      <c r="L17" s="215" t="s">
        <v>827</v>
      </c>
      <c r="M17" s="215" t="s">
        <v>828</v>
      </c>
    </row>
    <row r="18" spans="1:13" ht="31.8" thickBot="1" x14ac:dyDescent="0.35">
      <c r="A18" s="215"/>
      <c r="B18" s="224">
        <v>41014</v>
      </c>
      <c r="C18" s="226">
        <v>2</v>
      </c>
      <c r="D18" s="226">
        <v>4</v>
      </c>
      <c r="E18" s="226">
        <v>1</v>
      </c>
      <c r="F18" s="225"/>
      <c r="G18" s="215" t="s">
        <v>813</v>
      </c>
      <c r="H18" s="226">
        <v>2</v>
      </c>
      <c r="I18" s="226">
        <v>4</v>
      </c>
      <c r="J18" s="226">
        <v>2</v>
      </c>
      <c r="K18" s="226">
        <v>0</v>
      </c>
      <c r="L18" s="215" t="s">
        <v>827</v>
      </c>
      <c r="M18" s="215" t="s">
        <v>829</v>
      </c>
    </row>
    <row r="19" spans="1:13" ht="16.2" thickBot="1" x14ac:dyDescent="0.35">
      <c r="A19" s="215"/>
      <c r="B19" s="224">
        <v>41017</v>
      </c>
      <c r="C19" s="226">
        <v>518</v>
      </c>
      <c r="D19" s="226">
        <v>532</v>
      </c>
      <c r="E19" s="226">
        <v>3</v>
      </c>
      <c r="F19" s="225"/>
      <c r="G19" s="215" t="s">
        <v>813</v>
      </c>
      <c r="H19" s="226">
        <v>1555</v>
      </c>
      <c r="I19" s="226">
        <v>1595</v>
      </c>
      <c r="J19" s="226">
        <v>1206</v>
      </c>
      <c r="K19" s="226">
        <v>2</v>
      </c>
      <c r="L19" s="215" t="s">
        <v>823</v>
      </c>
      <c r="M19" s="215">
        <v>6065043813</v>
      </c>
    </row>
    <row r="20" spans="1:13" ht="156.6" thickBot="1" x14ac:dyDescent="0.35">
      <c r="A20" s="215"/>
      <c r="B20" s="224">
        <v>41018</v>
      </c>
      <c r="C20" s="226">
        <v>9027</v>
      </c>
      <c r="D20" s="226">
        <v>9695</v>
      </c>
      <c r="E20" s="226">
        <v>1</v>
      </c>
      <c r="F20" s="225"/>
      <c r="G20" s="215" t="s">
        <v>813</v>
      </c>
      <c r="H20" s="226">
        <v>9027</v>
      </c>
      <c r="I20" s="226">
        <v>9695</v>
      </c>
      <c r="J20" s="226">
        <v>9005</v>
      </c>
      <c r="K20" s="226">
        <v>1</v>
      </c>
      <c r="L20" s="215" t="s">
        <v>827</v>
      </c>
      <c r="M20" s="215" t="s">
        <v>830</v>
      </c>
    </row>
    <row r="21" spans="1:13" ht="31.8" thickBot="1" x14ac:dyDescent="0.35">
      <c r="A21" s="215"/>
      <c r="B21" s="224">
        <v>41019</v>
      </c>
      <c r="C21" s="226">
        <v>5</v>
      </c>
      <c r="D21" s="226">
        <v>10</v>
      </c>
      <c r="E21" s="226">
        <v>1</v>
      </c>
      <c r="F21" s="225"/>
      <c r="G21" s="215" t="s">
        <v>813</v>
      </c>
      <c r="H21" s="226">
        <v>5</v>
      </c>
      <c r="I21" s="226">
        <v>10</v>
      </c>
      <c r="J21" s="226">
        <v>1</v>
      </c>
      <c r="K21" s="226">
        <v>0</v>
      </c>
      <c r="L21" s="215" t="s">
        <v>823</v>
      </c>
      <c r="M21" s="215" t="s">
        <v>831</v>
      </c>
    </row>
    <row r="22" spans="1:13" ht="16.2" thickBot="1" x14ac:dyDescent="0.35">
      <c r="A22" s="215"/>
      <c r="B22" s="224">
        <v>41020</v>
      </c>
      <c r="C22" s="226">
        <v>76</v>
      </c>
      <c r="D22" s="226">
        <v>76</v>
      </c>
      <c r="E22" s="226">
        <v>1</v>
      </c>
      <c r="F22" s="225"/>
      <c r="G22" s="215" t="s">
        <v>813</v>
      </c>
      <c r="H22" s="226">
        <v>76</v>
      </c>
      <c r="I22" s="226">
        <v>76</v>
      </c>
      <c r="J22" s="226">
        <v>63</v>
      </c>
      <c r="K22" s="226">
        <v>0</v>
      </c>
      <c r="L22" s="215" t="s">
        <v>822</v>
      </c>
      <c r="M22" s="215">
        <v>6071008714</v>
      </c>
    </row>
    <row r="23" spans="1:13" ht="31.8" thickBot="1" x14ac:dyDescent="0.35">
      <c r="A23" s="215"/>
      <c r="B23" s="224">
        <v>41022</v>
      </c>
      <c r="C23" s="226">
        <v>814</v>
      </c>
      <c r="D23" s="226">
        <v>1011</v>
      </c>
      <c r="E23" s="226">
        <v>1</v>
      </c>
      <c r="F23" s="225"/>
      <c r="G23" s="215" t="s">
        <v>813</v>
      </c>
      <c r="H23" s="226">
        <v>814</v>
      </c>
      <c r="I23" s="226">
        <v>1011</v>
      </c>
      <c r="J23" s="226">
        <v>900</v>
      </c>
      <c r="K23" s="226">
        <v>0</v>
      </c>
      <c r="L23" s="215" t="s">
        <v>827</v>
      </c>
      <c r="M23" s="215" t="s">
        <v>832</v>
      </c>
    </row>
    <row r="24" spans="1:13" ht="31.8" thickBot="1" x14ac:dyDescent="0.35">
      <c r="A24" s="215"/>
      <c r="B24" s="224">
        <v>41023</v>
      </c>
      <c r="C24" s="226">
        <v>93</v>
      </c>
      <c r="D24" s="226">
        <v>107</v>
      </c>
      <c r="E24" s="226">
        <v>1</v>
      </c>
      <c r="F24" s="225"/>
      <c r="G24" s="215" t="s">
        <v>813</v>
      </c>
      <c r="H24" s="226">
        <v>93</v>
      </c>
      <c r="I24" s="226">
        <v>107</v>
      </c>
      <c r="J24" s="226">
        <v>53</v>
      </c>
      <c r="K24" s="226">
        <v>0</v>
      </c>
      <c r="L24" s="215" t="s">
        <v>822</v>
      </c>
      <c r="M24" s="215" t="s">
        <v>833</v>
      </c>
    </row>
    <row r="25" spans="1:13" ht="16.2" thickBot="1" x14ac:dyDescent="0.35">
      <c r="A25" s="215"/>
      <c r="B25" s="224">
        <v>41029</v>
      </c>
      <c r="C25" s="226">
        <v>19</v>
      </c>
      <c r="D25" s="226">
        <v>19</v>
      </c>
      <c r="E25" s="226">
        <v>1</v>
      </c>
      <c r="F25" s="225"/>
      <c r="G25" s="215" t="s">
        <v>813</v>
      </c>
      <c r="H25" s="226">
        <v>19</v>
      </c>
      <c r="I25" s="226">
        <v>19</v>
      </c>
      <c r="J25" s="226">
        <v>16</v>
      </c>
      <c r="K25" s="226">
        <v>0</v>
      </c>
      <c r="L25" s="215" t="s">
        <v>825</v>
      </c>
      <c r="M25" s="215">
        <v>6065046900</v>
      </c>
    </row>
    <row r="26" spans="1:13" ht="219" thickBot="1" x14ac:dyDescent="0.35">
      <c r="A26" s="215"/>
      <c r="B26" s="224">
        <v>41032</v>
      </c>
      <c r="C26" s="226">
        <v>2322</v>
      </c>
      <c r="D26" s="226">
        <v>2357</v>
      </c>
      <c r="E26" s="226">
        <v>4</v>
      </c>
      <c r="F26" s="225" t="s">
        <v>834</v>
      </c>
      <c r="G26" s="215" t="s">
        <v>813</v>
      </c>
      <c r="H26" s="226">
        <v>9288</v>
      </c>
      <c r="I26" s="226">
        <v>9428</v>
      </c>
      <c r="J26" s="226">
        <v>7992</v>
      </c>
      <c r="K26" s="226">
        <v>3</v>
      </c>
      <c r="L26" s="215" t="s">
        <v>835</v>
      </c>
      <c r="M26" s="215" t="s">
        <v>836</v>
      </c>
    </row>
    <row r="27" spans="1:13" ht="109.8" thickBot="1" x14ac:dyDescent="0.35">
      <c r="A27" s="215"/>
      <c r="B27" s="224">
        <v>41033</v>
      </c>
      <c r="C27" s="226">
        <v>1780</v>
      </c>
      <c r="D27" s="226">
        <v>1797</v>
      </c>
      <c r="E27" s="226">
        <v>2</v>
      </c>
      <c r="F27" s="225"/>
      <c r="G27" s="215" t="s">
        <v>813</v>
      </c>
      <c r="H27" s="226">
        <v>3559</v>
      </c>
      <c r="I27" s="226">
        <v>3593</v>
      </c>
      <c r="J27" s="226">
        <v>3174</v>
      </c>
      <c r="K27" s="226">
        <v>0</v>
      </c>
      <c r="L27" s="215" t="s">
        <v>835</v>
      </c>
      <c r="M27" s="215" t="s">
        <v>837</v>
      </c>
    </row>
    <row r="28" spans="1:13" ht="31.8" thickBot="1" x14ac:dyDescent="0.35">
      <c r="A28" s="215"/>
      <c r="B28" s="224">
        <v>41034</v>
      </c>
      <c r="C28" s="226">
        <v>1082</v>
      </c>
      <c r="D28" s="226">
        <v>1113</v>
      </c>
      <c r="E28" s="226">
        <v>1</v>
      </c>
      <c r="F28" s="225"/>
      <c r="G28" s="215" t="s">
        <v>813</v>
      </c>
      <c r="H28" s="226">
        <v>1082</v>
      </c>
      <c r="I28" s="226">
        <v>1113</v>
      </c>
      <c r="J28" s="226">
        <v>947</v>
      </c>
      <c r="K28" s="226">
        <v>0</v>
      </c>
      <c r="L28" s="215" t="s">
        <v>838</v>
      </c>
      <c r="M28" s="215" t="s">
        <v>839</v>
      </c>
    </row>
    <row r="29" spans="1:13" ht="16.2" thickBot="1" x14ac:dyDescent="0.35">
      <c r="A29" s="215"/>
      <c r="B29" s="224">
        <v>41035</v>
      </c>
      <c r="C29" s="226">
        <v>25</v>
      </c>
      <c r="D29" s="226">
        <v>25</v>
      </c>
      <c r="E29" s="226">
        <v>1</v>
      </c>
      <c r="F29" s="225"/>
      <c r="G29" s="215" t="s">
        <v>813</v>
      </c>
      <c r="H29" s="226">
        <v>25</v>
      </c>
      <c r="I29" s="226">
        <v>25</v>
      </c>
      <c r="J29" s="226">
        <v>19</v>
      </c>
      <c r="K29" s="226">
        <v>0</v>
      </c>
      <c r="L29" s="215" t="s">
        <v>838</v>
      </c>
      <c r="M29" s="215">
        <v>6071003612</v>
      </c>
    </row>
    <row r="30" spans="1:13" ht="16.2" thickBot="1" x14ac:dyDescent="0.35">
      <c r="A30" s="215"/>
      <c r="B30" s="224">
        <v>41038</v>
      </c>
      <c r="C30" s="226">
        <v>43</v>
      </c>
      <c r="D30" s="226">
        <v>43</v>
      </c>
      <c r="E30" s="226">
        <v>1</v>
      </c>
      <c r="F30" s="225"/>
      <c r="G30" s="215" t="s">
        <v>813</v>
      </c>
      <c r="H30" s="226">
        <v>43</v>
      </c>
      <c r="I30" s="226">
        <v>43</v>
      </c>
      <c r="J30" s="226">
        <v>18</v>
      </c>
      <c r="K30" s="226">
        <v>0</v>
      </c>
      <c r="L30" s="215" t="s">
        <v>835</v>
      </c>
      <c r="M30" s="215">
        <v>6071012400</v>
      </c>
    </row>
    <row r="31" spans="1:13" ht="47.4" thickBot="1" x14ac:dyDescent="0.35">
      <c r="A31" s="215"/>
      <c r="B31" s="224">
        <v>41039</v>
      </c>
      <c r="C31" s="226">
        <v>339</v>
      </c>
      <c r="D31" s="226">
        <v>355</v>
      </c>
      <c r="E31" s="226">
        <v>2</v>
      </c>
      <c r="F31" s="225" t="s">
        <v>840</v>
      </c>
      <c r="G31" s="215" t="s">
        <v>813</v>
      </c>
      <c r="H31" s="226">
        <v>677</v>
      </c>
      <c r="I31" s="226">
        <v>710</v>
      </c>
      <c r="J31" s="226">
        <v>586</v>
      </c>
      <c r="K31" s="226">
        <v>1</v>
      </c>
      <c r="L31" s="215" t="s">
        <v>841</v>
      </c>
      <c r="M31" s="215" t="s">
        <v>842</v>
      </c>
    </row>
    <row r="32" spans="1:13" ht="16.2" thickBot="1" x14ac:dyDescent="0.35">
      <c r="A32" s="215"/>
      <c r="B32" s="224">
        <v>41040</v>
      </c>
      <c r="C32" s="226">
        <v>17</v>
      </c>
      <c r="D32" s="226">
        <v>17</v>
      </c>
      <c r="E32" s="226">
        <v>1</v>
      </c>
      <c r="F32" s="225"/>
      <c r="G32" s="215" t="s">
        <v>813</v>
      </c>
      <c r="H32" s="226">
        <v>17</v>
      </c>
      <c r="I32" s="226">
        <v>17</v>
      </c>
      <c r="J32" s="226">
        <v>16</v>
      </c>
      <c r="K32" s="226">
        <v>0</v>
      </c>
      <c r="L32" s="215" t="s">
        <v>817</v>
      </c>
      <c r="M32" s="215">
        <v>6071010432</v>
      </c>
    </row>
    <row r="33" spans="1:13" ht="16.2" thickBot="1" x14ac:dyDescent="0.35">
      <c r="A33" s="215"/>
      <c r="B33" s="224">
        <v>41041</v>
      </c>
      <c r="C33" s="226">
        <v>13</v>
      </c>
      <c r="D33" s="226">
        <v>13</v>
      </c>
      <c r="E33" s="226">
        <v>1</v>
      </c>
      <c r="F33" s="225"/>
      <c r="G33" s="215" t="s">
        <v>813</v>
      </c>
      <c r="H33" s="226">
        <v>13</v>
      </c>
      <c r="I33" s="226">
        <v>13</v>
      </c>
      <c r="J33" s="226">
        <v>9</v>
      </c>
      <c r="K33" s="226">
        <v>0</v>
      </c>
      <c r="L33" s="215" t="s">
        <v>817</v>
      </c>
      <c r="M33" s="215">
        <v>6071010432</v>
      </c>
    </row>
    <row r="34" spans="1:13" ht="409.6" thickBot="1" x14ac:dyDescent="0.35">
      <c r="A34" s="215"/>
      <c r="B34" s="224">
        <v>41042</v>
      </c>
      <c r="C34" s="226">
        <v>4498</v>
      </c>
      <c r="D34" s="226">
        <v>4679</v>
      </c>
      <c r="E34" s="226">
        <v>16</v>
      </c>
      <c r="F34" s="225" t="s">
        <v>843</v>
      </c>
      <c r="G34" s="215" t="s">
        <v>813</v>
      </c>
      <c r="H34" s="226">
        <v>71968</v>
      </c>
      <c r="I34" s="226">
        <v>74866</v>
      </c>
      <c r="J34" s="226">
        <v>69862</v>
      </c>
      <c r="K34" s="226">
        <v>13</v>
      </c>
      <c r="L34" s="215" t="s">
        <v>844</v>
      </c>
      <c r="M34" s="215" t="s">
        <v>845</v>
      </c>
    </row>
    <row r="35" spans="1:13" ht="31.8" thickBot="1" x14ac:dyDescent="0.35">
      <c r="A35" s="215"/>
      <c r="B35" s="224">
        <v>41043</v>
      </c>
      <c r="C35" s="226">
        <v>2092</v>
      </c>
      <c r="D35" s="226">
        <v>2092</v>
      </c>
      <c r="E35" s="226">
        <v>1</v>
      </c>
      <c r="F35" s="225"/>
      <c r="G35" s="215" t="s">
        <v>813</v>
      </c>
      <c r="H35" s="226">
        <v>2092</v>
      </c>
      <c r="I35" s="226">
        <v>2092</v>
      </c>
      <c r="J35" s="226">
        <v>2041</v>
      </c>
      <c r="K35" s="226">
        <v>0</v>
      </c>
      <c r="L35" s="215" t="s">
        <v>846</v>
      </c>
      <c r="M35" s="215" t="s">
        <v>847</v>
      </c>
    </row>
    <row r="36" spans="1:13" ht="78.599999999999994" thickBot="1" x14ac:dyDescent="0.35">
      <c r="A36" s="215"/>
      <c r="B36" s="224">
        <v>41044</v>
      </c>
      <c r="C36" s="226">
        <v>2315</v>
      </c>
      <c r="D36" s="226">
        <v>2329</v>
      </c>
      <c r="E36" s="226">
        <v>3</v>
      </c>
      <c r="F36" s="225"/>
      <c r="G36" s="215" t="s">
        <v>813</v>
      </c>
      <c r="H36" s="226">
        <v>6945</v>
      </c>
      <c r="I36" s="226">
        <v>6986</v>
      </c>
      <c r="J36" s="226">
        <v>6455</v>
      </c>
      <c r="K36" s="226">
        <v>0</v>
      </c>
      <c r="L36" s="215" t="s">
        <v>848</v>
      </c>
      <c r="M36" s="215" t="s">
        <v>849</v>
      </c>
    </row>
    <row r="37" spans="1:13" ht="172.2" thickBot="1" x14ac:dyDescent="0.35">
      <c r="A37" s="215"/>
      <c r="B37" s="224">
        <v>41045</v>
      </c>
      <c r="C37" s="226">
        <v>3879</v>
      </c>
      <c r="D37" s="226">
        <v>3911</v>
      </c>
      <c r="E37" s="226">
        <v>4</v>
      </c>
      <c r="F37" s="225"/>
      <c r="G37" s="215" t="s">
        <v>813</v>
      </c>
      <c r="H37" s="226">
        <v>15516</v>
      </c>
      <c r="I37" s="226">
        <v>15644</v>
      </c>
      <c r="J37" s="226">
        <v>14185</v>
      </c>
      <c r="K37" s="226">
        <v>0</v>
      </c>
      <c r="L37" s="215" t="s">
        <v>814</v>
      </c>
      <c r="M37" s="215" t="s">
        <v>850</v>
      </c>
    </row>
    <row r="38" spans="1:13" ht="47.4" thickBot="1" x14ac:dyDescent="0.35">
      <c r="A38" s="215"/>
      <c r="B38" s="224">
        <v>41046</v>
      </c>
      <c r="C38" s="226">
        <v>51</v>
      </c>
      <c r="D38" s="226">
        <v>51</v>
      </c>
      <c r="E38" s="226">
        <v>1</v>
      </c>
      <c r="F38" s="225"/>
      <c r="G38" s="215" t="s">
        <v>813</v>
      </c>
      <c r="H38" s="226">
        <v>51</v>
      </c>
      <c r="I38" s="226">
        <v>51</v>
      </c>
      <c r="J38" s="226">
        <v>49</v>
      </c>
      <c r="K38" s="226">
        <v>0</v>
      </c>
      <c r="L38" s="215" t="s">
        <v>814</v>
      </c>
      <c r="M38" s="215" t="s">
        <v>851</v>
      </c>
    </row>
    <row r="39" spans="1:13" ht="31.8" thickBot="1" x14ac:dyDescent="0.35">
      <c r="A39" s="215"/>
      <c r="B39" s="224">
        <v>41047</v>
      </c>
      <c r="C39" s="226">
        <v>24</v>
      </c>
      <c r="D39" s="226">
        <v>24</v>
      </c>
      <c r="E39" s="226">
        <v>1</v>
      </c>
      <c r="F39" s="225" t="s">
        <v>852</v>
      </c>
      <c r="G39" s="215" t="s">
        <v>813</v>
      </c>
      <c r="H39" s="226">
        <v>24</v>
      </c>
      <c r="I39" s="226">
        <v>24</v>
      </c>
      <c r="J39" s="226">
        <v>18</v>
      </c>
      <c r="K39" s="226">
        <v>0</v>
      </c>
      <c r="L39" s="215" t="s">
        <v>814</v>
      </c>
      <c r="M39" s="215" t="s">
        <v>853</v>
      </c>
    </row>
    <row r="40" spans="1:13" ht="47.4" thickBot="1" x14ac:dyDescent="0.35">
      <c r="A40" s="215"/>
      <c r="B40" s="224">
        <v>41048</v>
      </c>
      <c r="C40" s="226">
        <v>524</v>
      </c>
      <c r="D40" s="226">
        <v>524</v>
      </c>
      <c r="E40" s="226">
        <v>1</v>
      </c>
      <c r="F40" s="225" t="s">
        <v>854</v>
      </c>
      <c r="G40" s="215" t="s">
        <v>813</v>
      </c>
      <c r="H40" s="226">
        <v>524</v>
      </c>
      <c r="I40" s="226">
        <v>524</v>
      </c>
      <c r="J40" s="226">
        <v>475</v>
      </c>
      <c r="K40" s="226">
        <v>0</v>
      </c>
      <c r="L40" s="215" t="s">
        <v>822</v>
      </c>
      <c r="M40" s="215" t="s">
        <v>855</v>
      </c>
    </row>
    <row r="41" spans="1:13" ht="78.599999999999994" thickBot="1" x14ac:dyDescent="0.35">
      <c r="A41" s="215"/>
      <c r="B41" s="224">
        <v>41049</v>
      </c>
      <c r="C41" s="226">
        <v>3350</v>
      </c>
      <c r="D41" s="226">
        <v>3490</v>
      </c>
      <c r="E41" s="226">
        <v>1</v>
      </c>
      <c r="F41" s="225" t="s">
        <v>856</v>
      </c>
      <c r="G41" s="215" t="s">
        <v>813</v>
      </c>
      <c r="H41" s="226">
        <v>3350</v>
      </c>
      <c r="I41" s="226">
        <v>3490</v>
      </c>
      <c r="J41" s="226">
        <v>3374</v>
      </c>
      <c r="K41" s="226">
        <v>0</v>
      </c>
      <c r="L41" s="215" t="s">
        <v>822</v>
      </c>
      <c r="M41" s="215" t="s">
        <v>857</v>
      </c>
    </row>
    <row r="42" spans="1:13" ht="16.2" thickBot="1" x14ac:dyDescent="0.35">
      <c r="A42" s="215"/>
      <c r="B42" s="224">
        <v>41050</v>
      </c>
      <c r="C42" s="226">
        <v>202</v>
      </c>
      <c r="D42" s="226">
        <v>217</v>
      </c>
      <c r="E42" s="226">
        <v>1</v>
      </c>
      <c r="F42" s="225"/>
      <c r="G42" s="215" t="s">
        <v>813</v>
      </c>
      <c r="H42" s="226">
        <v>202</v>
      </c>
      <c r="I42" s="226">
        <v>217</v>
      </c>
      <c r="J42" s="226">
        <v>141</v>
      </c>
      <c r="K42" s="226">
        <v>0</v>
      </c>
      <c r="L42" s="215" t="s">
        <v>825</v>
      </c>
      <c r="M42" s="215">
        <v>6065046900</v>
      </c>
    </row>
    <row r="43" spans="1:13" ht="141" thickBot="1" x14ac:dyDescent="0.35">
      <c r="A43" s="215"/>
      <c r="B43" s="224">
        <v>41051</v>
      </c>
      <c r="C43" s="226">
        <v>4414</v>
      </c>
      <c r="D43" s="226">
        <v>4825</v>
      </c>
      <c r="E43" s="226">
        <v>2</v>
      </c>
      <c r="F43" s="225"/>
      <c r="G43" s="215" t="s">
        <v>813</v>
      </c>
      <c r="H43" s="226">
        <v>8828</v>
      </c>
      <c r="I43" s="226">
        <v>9650</v>
      </c>
      <c r="J43" s="226">
        <v>8482</v>
      </c>
      <c r="K43" s="226">
        <v>1</v>
      </c>
      <c r="L43" s="215" t="s">
        <v>827</v>
      </c>
      <c r="M43" s="215" t="s">
        <v>858</v>
      </c>
    </row>
    <row r="44" spans="1:13" ht="78.599999999999994" thickBot="1" x14ac:dyDescent="0.35">
      <c r="A44" s="215"/>
      <c r="B44" s="224">
        <v>41053</v>
      </c>
      <c r="C44" s="226">
        <v>2304</v>
      </c>
      <c r="D44" s="226">
        <v>2422</v>
      </c>
      <c r="E44" s="226">
        <v>3</v>
      </c>
      <c r="F44" s="225"/>
      <c r="G44" s="215" t="s">
        <v>813</v>
      </c>
      <c r="H44" s="226">
        <v>6912</v>
      </c>
      <c r="I44" s="226">
        <v>7266</v>
      </c>
      <c r="J44" s="226">
        <v>6975</v>
      </c>
      <c r="K44" s="226">
        <v>0</v>
      </c>
      <c r="L44" s="215" t="s">
        <v>827</v>
      </c>
      <c r="M44" s="215" t="s">
        <v>859</v>
      </c>
    </row>
    <row r="45" spans="1:13" ht="31.8" thickBot="1" x14ac:dyDescent="0.35">
      <c r="A45" s="215"/>
      <c r="B45" s="224">
        <v>41058</v>
      </c>
      <c r="C45" s="226">
        <v>18</v>
      </c>
      <c r="D45" s="226">
        <v>18</v>
      </c>
      <c r="E45" s="226">
        <v>1</v>
      </c>
      <c r="F45" s="225"/>
      <c r="G45" s="215" t="s">
        <v>813</v>
      </c>
      <c r="H45" s="226">
        <v>18</v>
      </c>
      <c r="I45" s="226">
        <v>18</v>
      </c>
      <c r="J45" s="226">
        <v>10</v>
      </c>
      <c r="K45" s="226">
        <v>0</v>
      </c>
      <c r="L45" s="215" t="s">
        <v>822</v>
      </c>
      <c r="M45" s="215" t="s">
        <v>860</v>
      </c>
    </row>
    <row r="46" spans="1:13" ht="31.8" thickBot="1" x14ac:dyDescent="0.35">
      <c r="A46" s="215"/>
      <c r="B46" s="224">
        <v>41060</v>
      </c>
      <c r="C46" s="226">
        <v>1295</v>
      </c>
      <c r="D46" s="226">
        <v>1299</v>
      </c>
      <c r="E46" s="226">
        <v>1</v>
      </c>
      <c r="F46" s="225"/>
      <c r="G46" s="215" t="s">
        <v>813</v>
      </c>
      <c r="H46" s="226">
        <v>1295</v>
      </c>
      <c r="I46" s="226">
        <v>1299</v>
      </c>
      <c r="J46" s="226">
        <v>1252</v>
      </c>
      <c r="K46" s="226">
        <v>0</v>
      </c>
      <c r="L46" s="215" t="s">
        <v>861</v>
      </c>
      <c r="M46" s="215" t="s">
        <v>862</v>
      </c>
    </row>
    <row r="47" spans="1:13" ht="94.2" thickBot="1" x14ac:dyDescent="0.35">
      <c r="A47" s="215"/>
      <c r="B47" s="224">
        <v>41061</v>
      </c>
      <c r="C47" s="226">
        <v>3669</v>
      </c>
      <c r="D47" s="226">
        <v>3837</v>
      </c>
      <c r="E47" s="226">
        <v>1</v>
      </c>
      <c r="F47" s="225"/>
      <c r="G47" s="215" t="s">
        <v>813</v>
      </c>
      <c r="H47" s="226">
        <v>3669</v>
      </c>
      <c r="I47" s="226">
        <v>3837</v>
      </c>
      <c r="J47" s="226">
        <v>3736</v>
      </c>
      <c r="K47" s="226">
        <v>0</v>
      </c>
      <c r="L47" s="215" t="s">
        <v>861</v>
      </c>
      <c r="M47" s="215" t="s">
        <v>863</v>
      </c>
    </row>
    <row r="48" spans="1:13" ht="409.6" thickBot="1" x14ac:dyDescent="0.35">
      <c r="A48" s="215"/>
      <c r="B48" s="224">
        <v>41062</v>
      </c>
      <c r="C48" s="226">
        <v>6100</v>
      </c>
      <c r="D48" s="226">
        <v>6213</v>
      </c>
      <c r="E48" s="226">
        <v>57</v>
      </c>
      <c r="F48" s="225" t="s">
        <v>864</v>
      </c>
      <c r="G48" s="215" t="s">
        <v>813</v>
      </c>
      <c r="H48" s="226">
        <v>347705</v>
      </c>
      <c r="I48" s="226">
        <v>354135</v>
      </c>
      <c r="J48" s="226">
        <v>332781</v>
      </c>
      <c r="K48" s="226">
        <v>56</v>
      </c>
      <c r="L48" s="215" t="s">
        <v>865</v>
      </c>
      <c r="M48" s="215" t="s">
        <v>866</v>
      </c>
    </row>
    <row r="49" spans="1:13" ht="16.2" thickBot="1" x14ac:dyDescent="0.35">
      <c r="A49" s="215"/>
      <c r="B49" s="224">
        <v>41065</v>
      </c>
      <c r="C49" s="226">
        <v>2</v>
      </c>
      <c r="D49" s="226">
        <v>162</v>
      </c>
      <c r="E49" s="226">
        <v>1</v>
      </c>
      <c r="F49" s="225"/>
      <c r="G49" s="215" t="s">
        <v>813</v>
      </c>
      <c r="H49" s="226">
        <v>2</v>
      </c>
      <c r="I49" s="226">
        <v>162</v>
      </c>
      <c r="J49" s="226">
        <v>152</v>
      </c>
      <c r="K49" s="226">
        <v>0</v>
      </c>
      <c r="L49" s="215" t="s">
        <v>867</v>
      </c>
      <c r="M49" s="215">
        <v>6065042720</v>
      </c>
    </row>
    <row r="50" spans="1:13" ht="31.8" thickBot="1" x14ac:dyDescent="0.35">
      <c r="A50" s="215"/>
      <c r="B50" s="224">
        <v>41066</v>
      </c>
      <c r="C50" s="226">
        <v>1671</v>
      </c>
      <c r="D50" s="226">
        <v>1682</v>
      </c>
      <c r="E50" s="226">
        <v>1</v>
      </c>
      <c r="F50" s="225"/>
      <c r="G50" s="215" t="s">
        <v>813</v>
      </c>
      <c r="H50" s="226">
        <v>1671</v>
      </c>
      <c r="I50" s="226">
        <v>1682</v>
      </c>
      <c r="J50" s="226">
        <v>1602</v>
      </c>
      <c r="K50" s="226">
        <v>0</v>
      </c>
      <c r="L50" s="215" t="s">
        <v>867</v>
      </c>
      <c r="M50" s="215" t="s">
        <v>868</v>
      </c>
    </row>
    <row r="51" spans="1:13" ht="47.4" thickBot="1" x14ac:dyDescent="0.35">
      <c r="A51" s="215"/>
      <c r="B51" s="224">
        <v>41067</v>
      </c>
      <c r="C51" s="226">
        <v>1620</v>
      </c>
      <c r="D51" s="226">
        <v>1788</v>
      </c>
      <c r="E51" s="226">
        <v>1</v>
      </c>
      <c r="F51" s="225"/>
      <c r="G51" s="215" t="s">
        <v>813</v>
      </c>
      <c r="H51" s="226">
        <v>1620</v>
      </c>
      <c r="I51" s="226">
        <v>1788</v>
      </c>
      <c r="J51" s="226">
        <v>1674</v>
      </c>
      <c r="K51" s="226">
        <v>0</v>
      </c>
      <c r="L51" s="215" t="s">
        <v>827</v>
      </c>
      <c r="M51" s="215" t="s">
        <v>869</v>
      </c>
    </row>
    <row r="52" spans="1:13" ht="63" thickBot="1" x14ac:dyDescent="0.35">
      <c r="A52" s="215"/>
      <c r="B52" s="224">
        <v>41068</v>
      </c>
      <c r="C52" s="226">
        <v>822</v>
      </c>
      <c r="D52" s="226">
        <v>903</v>
      </c>
      <c r="E52" s="226">
        <v>2</v>
      </c>
      <c r="F52" s="225"/>
      <c r="G52" s="215" t="s">
        <v>813</v>
      </c>
      <c r="H52" s="226">
        <v>1644</v>
      </c>
      <c r="I52" s="226">
        <v>1806</v>
      </c>
      <c r="J52" s="226">
        <v>1735</v>
      </c>
      <c r="K52" s="226">
        <v>0</v>
      </c>
      <c r="L52" s="215" t="s">
        <v>827</v>
      </c>
      <c r="M52" s="215" t="s">
        <v>870</v>
      </c>
    </row>
    <row r="53" spans="1:13" ht="409.6" thickBot="1" x14ac:dyDescent="0.35">
      <c r="A53" s="215"/>
      <c r="B53" s="224">
        <v>41069</v>
      </c>
      <c r="C53" s="226">
        <v>6396</v>
      </c>
      <c r="D53" s="226">
        <v>6521</v>
      </c>
      <c r="E53" s="226">
        <v>9</v>
      </c>
      <c r="F53" s="225" t="s">
        <v>871</v>
      </c>
      <c r="G53" s="215" t="s">
        <v>813</v>
      </c>
      <c r="H53" s="226">
        <v>57561</v>
      </c>
      <c r="I53" s="226">
        <v>58691</v>
      </c>
      <c r="J53" s="226">
        <v>54516</v>
      </c>
      <c r="K53" s="226">
        <v>5</v>
      </c>
      <c r="L53" s="215" t="s">
        <v>867</v>
      </c>
      <c r="M53" s="215" t="s">
        <v>872</v>
      </c>
    </row>
    <row r="54" spans="1:13" ht="16.2" thickBot="1" x14ac:dyDescent="0.35">
      <c r="A54" s="215"/>
      <c r="B54" s="224">
        <v>41071</v>
      </c>
      <c r="C54" s="226">
        <v>43</v>
      </c>
      <c r="D54" s="226">
        <v>43</v>
      </c>
      <c r="E54" s="226">
        <v>1</v>
      </c>
      <c r="F54" s="225"/>
      <c r="G54" s="215" t="s">
        <v>813</v>
      </c>
      <c r="H54" s="226">
        <v>43</v>
      </c>
      <c r="I54" s="226">
        <v>43</v>
      </c>
      <c r="J54" s="226">
        <v>40</v>
      </c>
      <c r="K54" s="226">
        <v>0</v>
      </c>
      <c r="L54" s="215" t="s">
        <v>814</v>
      </c>
      <c r="M54" s="215">
        <v>6065044520</v>
      </c>
    </row>
    <row r="55" spans="1:13" ht="94.2" thickBot="1" x14ac:dyDescent="0.35">
      <c r="A55" s="215"/>
      <c r="B55" s="224">
        <v>41072</v>
      </c>
      <c r="C55" s="226">
        <v>918</v>
      </c>
      <c r="D55" s="226">
        <v>922</v>
      </c>
      <c r="E55" s="226">
        <v>4</v>
      </c>
      <c r="F55" s="225"/>
      <c r="G55" s="215" t="s">
        <v>813</v>
      </c>
      <c r="H55" s="226">
        <v>3673</v>
      </c>
      <c r="I55" s="226">
        <v>3688</v>
      </c>
      <c r="J55" s="226">
        <v>3458</v>
      </c>
      <c r="K55" s="226">
        <v>0</v>
      </c>
      <c r="L55" s="215" t="s">
        <v>873</v>
      </c>
      <c r="M55" s="215" t="s">
        <v>874</v>
      </c>
    </row>
    <row r="56" spans="1:13" ht="31.8" thickBot="1" x14ac:dyDescent="0.35">
      <c r="A56" s="215"/>
      <c r="B56" s="224">
        <v>41074</v>
      </c>
      <c r="C56" s="226">
        <v>1343</v>
      </c>
      <c r="D56" s="226">
        <v>1391</v>
      </c>
      <c r="E56" s="226">
        <v>1</v>
      </c>
      <c r="F56" s="225"/>
      <c r="G56" s="215" t="s">
        <v>813</v>
      </c>
      <c r="H56" s="226">
        <v>1343</v>
      </c>
      <c r="I56" s="226">
        <v>1391</v>
      </c>
      <c r="J56" s="226">
        <v>1230</v>
      </c>
      <c r="K56" s="226">
        <v>0</v>
      </c>
      <c r="L56" s="215" t="s">
        <v>827</v>
      </c>
      <c r="M56" s="215" t="s">
        <v>875</v>
      </c>
    </row>
    <row r="57" spans="1:13" ht="47.4" thickBot="1" x14ac:dyDescent="0.35">
      <c r="A57" s="215"/>
      <c r="B57" s="224">
        <v>41075</v>
      </c>
      <c r="C57" s="226">
        <v>1853</v>
      </c>
      <c r="D57" s="226">
        <v>1918</v>
      </c>
      <c r="E57" s="226">
        <v>1</v>
      </c>
      <c r="F57" s="225"/>
      <c r="G57" s="215" t="s">
        <v>813</v>
      </c>
      <c r="H57" s="226">
        <v>1853</v>
      </c>
      <c r="I57" s="226">
        <v>1918</v>
      </c>
      <c r="J57" s="226">
        <v>1777</v>
      </c>
      <c r="K57" s="226">
        <v>0</v>
      </c>
      <c r="L57" s="215" t="s">
        <v>867</v>
      </c>
      <c r="M57" s="215" t="s">
        <v>876</v>
      </c>
    </row>
    <row r="58" spans="1:13" ht="31.8" thickBot="1" x14ac:dyDescent="0.35">
      <c r="A58" s="215"/>
      <c r="B58" s="224">
        <v>41080</v>
      </c>
      <c r="C58" s="226">
        <v>106</v>
      </c>
      <c r="D58" s="226">
        <v>106</v>
      </c>
      <c r="E58" s="226">
        <v>1</v>
      </c>
      <c r="F58" s="225"/>
      <c r="G58" s="215" t="s">
        <v>813</v>
      </c>
      <c r="H58" s="226">
        <v>106</v>
      </c>
      <c r="I58" s="226">
        <v>106</v>
      </c>
      <c r="J58" s="226">
        <v>96</v>
      </c>
      <c r="K58" s="226">
        <v>0</v>
      </c>
      <c r="L58" s="215" t="s">
        <v>814</v>
      </c>
      <c r="M58" s="215" t="s">
        <v>877</v>
      </c>
    </row>
    <row r="59" spans="1:13" ht="172.2" thickBot="1" x14ac:dyDescent="0.35">
      <c r="A59" s="215"/>
      <c r="B59" s="224">
        <v>41083</v>
      </c>
      <c r="C59" s="226">
        <v>3206</v>
      </c>
      <c r="D59" s="226">
        <v>3224</v>
      </c>
      <c r="E59" s="226">
        <v>3</v>
      </c>
      <c r="F59" s="225"/>
      <c r="G59" s="215" t="s">
        <v>813</v>
      </c>
      <c r="H59" s="226">
        <v>9617</v>
      </c>
      <c r="I59" s="226">
        <v>9671</v>
      </c>
      <c r="J59" s="226">
        <v>9324</v>
      </c>
      <c r="K59" s="226">
        <v>0</v>
      </c>
      <c r="L59" s="215" t="s">
        <v>878</v>
      </c>
      <c r="M59" s="215" t="s">
        <v>879</v>
      </c>
    </row>
    <row r="60" spans="1:13" ht="409.6" thickBot="1" x14ac:dyDescent="0.35">
      <c r="A60" s="215"/>
      <c r="B60" s="224">
        <v>41084</v>
      </c>
      <c r="C60" s="226">
        <v>5029</v>
      </c>
      <c r="D60" s="226">
        <v>5581</v>
      </c>
      <c r="E60" s="226">
        <v>10</v>
      </c>
      <c r="F60" s="225"/>
      <c r="G60" s="215" t="s">
        <v>813</v>
      </c>
      <c r="H60" s="226">
        <v>50291</v>
      </c>
      <c r="I60" s="226">
        <v>55813</v>
      </c>
      <c r="J60" s="226">
        <v>52428</v>
      </c>
      <c r="K60" s="226">
        <v>2</v>
      </c>
      <c r="L60" s="215" t="s">
        <v>814</v>
      </c>
      <c r="M60" s="215" t="s">
        <v>880</v>
      </c>
    </row>
    <row r="61" spans="1:13" ht="31.8" thickBot="1" x14ac:dyDescent="0.35">
      <c r="A61" s="215"/>
      <c r="B61" s="224">
        <v>41089</v>
      </c>
      <c r="C61" s="226">
        <v>1668</v>
      </c>
      <c r="D61" s="226">
        <v>1701</v>
      </c>
      <c r="E61" s="226">
        <v>1</v>
      </c>
      <c r="F61" s="225"/>
      <c r="G61" s="215" t="s">
        <v>813</v>
      </c>
      <c r="H61" s="226">
        <v>1668</v>
      </c>
      <c r="I61" s="226">
        <v>1701</v>
      </c>
      <c r="J61" s="226">
        <v>1376</v>
      </c>
      <c r="K61" s="226">
        <v>0</v>
      </c>
      <c r="L61" s="215" t="s">
        <v>817</v>
      </c>
      <c r="M61" s="215" t="s">
        <v>881</v>
      </c>
    </row>
    <row r="62" spans="1:13" ht="16.2" thickBot="1" x14ac:dyDescent="0.35">
      <c r="A62" s="215"/>
      <c r="B62" s="224">
        <v>41090</v>
      </c>
      <c r="C62" s="226">
        <v>15</v>
      </c>
      <c r="D62" s="226">
        <v>15</v>
      </c>
      <c r="E62" s="226">
        <v>1</v>
      </c>
      <c r="F62" s="225"/>
      <c r="G62" s="215" t="s">
        <v>813</v>
      </c>
      <c r="H62" s="226">
        <v>15</v>
      </c>
      <c r="I62" s="226">
        <v>15</v>
      </c>
      <c r="J62" s="226">
        <v>7</v>
      </c>
      <c r="K62" s="226">
        <v>0</v>
      </c>
      <c r="L62" s="215" t="s">
        <v>817</v>
      </c>
      <c r="M62" s="215">
        <v>6071010420</v>
      </c>
    </row>
    <row r="63" spans="1:13" ht="31.8" thickBot="1" x14ac:dyDescent="0.35">
      <c r="A63" s="215"/>
      <c r="B63" s="224">
        <v>41091</v>
      </c>
      <c r="C63" s="226">
        <v>23</v>
      </c>
      <c r="D63" s="226">
        <v>27</v>
      </c>
      <c r="E63" s="226">
        <v>1</v>
      </c>
      <c r="F63" s="225"/>
      <c r="G63" s="215" t="s">
        <v>813</v>
      </c>
      <c r="H63" s="226">
        <v>23</v>
      </c>
      <c r="I63" s="226">
        <v>27</v>
      </c>
      <c r="J63" s="226">
        <v>23</v>
      </c>
      <c r="K63" s="226">
        <v>0</v>
      </c>
      <c r="L63" s="215" t="s">
        <v>817</v>
      </c>
      <c r="M63" s="215" t="s">
        <v>882</v>
      </c>
    </row>
    <row r="64" spans="1:13" ht="16.2" thickBot="1" x14ac:dyDescent="0.35">
      <c r="A64" s="215"/>
      <c r="B64" s="224">
        <v>41092</v>
      </c>
      <c r="C64" s="226">
        <v>418</v>
      </c>
      <c r="D64" s="226">
        <v>418</v>
      </c>
      <c r="E64" s="226">
        <v>1</v>
      </c>
      <c r="F64" s="225"/>
      <c r="G64" s="215" t="s">
        <v>813</v>
      </c>
      <c r="H64" s="226">
        <v>418</v>
      </c>
      <c r="I64" s="226">
        <v>418</v>
      </c>
      <c r="J64" s="226">
        <v>360</v>
      </c>
      <c r="K64" s="226">
        <v>0</v>
      </c>
      <c r="L64" s="215" t="s">
        <v>817</v>
      </c>
      <c r="M64" s="215">
        <v>6071010419</v>
      </c>
    </row>
    <row r="65" spans="1:13" ht="16.2" thickBot="1" x14ac:dyDescent="0.35">
      <c r="A65" s="215"/>
      <c r="B65" s="224">
        <v>41093</v>
      </c>
      <c r="C65" s="226">
        <v>3</v>
      </c>
      <c r="D65" s="226">
        <v>3</v>
      </c>
      <c r="E65" s="226">
        <v>1</v>
      </c>
      <c r="F65" s="225"/>
      <c r="G65" s="215" t="s">
        <v>813</v>
      </c>
      <c r="H65" s="226">
        <v>3</v>
      </c>
      <c r="I65" s="226">
        <v>3</v>
      </c>
      <c r="J65" s="226">
        <v>2</v>
      </c>
      <c r="K65" s="226">
        <v>0</v>
      </c>
      <c r="L65" s="215" t="s">
        <v>817</v>
      </c>
      <c r="M65" s="215">
        <v>6071010419</v>
      </c>
    </row>
    <row r="66" spans="1:13" ht="31.8" thickBot="1" x14ac:dyDescent="0.35">
      <c r="A66" s="215"/>
      <c r="B66" s="224">
        <v>41094</v>
      </c>
      <c r="C66" s="226">
        <v>14</v>
      </c>
      <c r="D66" s="226">
        <v>14</v>
      </c>
      <c r="E66" s="226">
        <v>1</v>
      </c>
      <c r="F66" s="225"/>
      <c r="G66" s="215" t="s">
        <v>813</v>
      </c>
      <c r="H66" s="226">
        <v>14</v>
      </c>
      <c r="I66" s="226">
        <v>14</v>
      </c>
      <c r="J66" s="226">
        <v>8</v>
      </c>
      <c r="K66" s="226">
        <v>0</v>
      </c>
      <c r="L66" s="215" t="s">
        <v>817</v>
      </c>
      <c r="M66" s="215" t="s">
        <v>881</v>
      </c>
    </row>
    <row r="67" spans="1:13" ht="16.2" thickBot="1" x14ac:dyDescent="0.35">
      <c r="A67" s="215"/>
      <c r="B67" s="224">
        <v>41095</v>
      </c>
      <c r="C67" s="226">
        <v>3</v>
      </c>
      <c r="D67" s="226">
        <v>3</v>
      </c>
      <c r="E67" s="226">
        <v>1</v>
      </c>
      <c r="F67" s="225"/>
      <c r="G67" s="215" t="s">
        <v>813</v>
      </c>
      <c r="H67" s="226">
        <v>3</v>
      </c>
      <c r="I67" s="226">
        <v>3</v>
      </c>
      <c r="J67" s="226">
        <v>3</v>
      </c>
      <c r="K67" s="226">
        <v>0</v>
      </c>
      <c r="L67" s="215" t="s">
        <v>817</v>
      </c>
      <c r="M67" s="215">
        <v>6071010431</v>
      </c>
    </row>
    <row r="68" spans="1:13" ht="141" thickBot="1" x14ac:dyDescent="0.35">
      <c r="A68" s="215"/>
      <c r="B68" s="224">
        <v>41098</v>
      </c>
      <c r="C68" s="226">
        <v>3603</v>
      </c>
      <c r="D68" s="226">
        <v>3663</v>
      </c>
      <c r="E68" s="226">
        <v>3</v>
      </c>
      <c r="F68" s="225" t="s">
        <v>883</v>
      </c>
      <c r="G68" s="215" t="s">
        <v>813</v>
      </c>
      <c r="H68" s="226">
        <v>10808</v>
      </c>
      <c r="I68" s="226">
        <v>10989</v>
      </c>
      <c r="J68" s="226">
        <v>10150</v>
      </c>
      <c r="K68" s="226">
        <v>0</v>
      </c>
      <c r="L68" s="215" t="s">
        <v>848</v>
      </c>
      <c r="M68" s="215" t="s">
        <v>884</v>
      </c>
    </row>
    <row r="69" spans="1:13" ht="47.4" thickBot="1" x14ac:dyDescent="0.35">
      <c r="A69" s="215"/>
      <c r="B69" s="224">
        <v>41100</v>
      </c>
      <c r="C69" s="226">
        <v>1090</v>
      </c>
      <c r="D69" s="226">
        <v>1549</v>
      </c>
      <c r="E69" s="226">
        <v>1</v>
      </c>
      <c r="F69" s="225"/>
      <c r="G69" s="215" t="s">
        <v>813</v>
      </c>
      <c r="H69" s="226">
        <v>1090</v>
      </c>
      <c r="I69" s="226">
        <v>1549</v>
      </c>
      <c r="J69" s="226">
        <v>1490</v>
      </c>
      <c r="K69" s="226">
        <v>0</v>
      </c>
      <c r="L69" s="215" t="s">
        <v>814</v>
      </c>
      <c r="M69" s="215" t="s">
        <v>885</v>
      </c>
    </row>
    <row r="70" spans="1:13" ht="409.6" thickBot="1" x14ac:dyDescent="0.35">
      <c r="A70" s="215"/>
      <c r="B70" s="224">
        <v>41103</v>
      </c>
      <c r="C70" s="226">
        <v>6329</v>
      </c>
      <c r="D70" s="226">
        <v>6552</v>
      </c>
      <c r="E70" s="226">
        <v>10</v>
      </c>
      <c r="F70" s="225"/>
      <c r="G70" s="215" t="s">
        <v>813</v>
      </c>
      <c r="H70" s="226">
        <v>63293</v>
      </c>
      <c r="I70" s="226">
        <v>65519</v>
      </c>
      <c r="J70" s="226">
        <v>62013</v>
      </c>
      <c r="K70" s="226">
        <v>6</v>
      </c>
      <c r="L70" s="215" t="s">
        <v>886</v>
      </c>
      <c r="M70" s="215" t="s">
        <v>887</v>
      </c>
    </row>
    <row r="71" spans="1:13" ht="16.2" thickBot="1" x14ac:dyDescent="0.35">
      <c r="A71" s="215"/>
      <c r="B71" s="224">
        <v>41105</v>
      </c>
      <c r="C71" s="226">
        <v>6</v>
      </c>
      <c r="D71" s="226">
        <v>6</v>
      </c>
      <c r="E71" s="226">
        <v>1</v>
      </c>
      <c r="F71" s="225"/>
      <c r="G71" s="215" t="s">
        <v>813</v>
      </c>
      <c r="H71" s="226">
        <v>6</v>
      </c>
      <c r="I71" s="226">
        <v>6</v>
      </c>
      <c r="J71" s="226">
        <v>6</v>
      </c>
      <c r="K71" s="226">
        <v>0</v>
      </c>
      <c r="L71" s="215" t="s">
        <v>867</v>
      </c>
      <c r="M71" s="215">
        <v>6065043822</v>
      </c>
    </row>
    <row r="72" spans="1:13" ht="16.2" thickBot="1" x14ac:dyDescent="0.35">
      <c r="A72" s="215"/>
      <c r="B72" s="224">
        <v>41106</v>
      </c>
      <c r="C72" s="226">
        <v>661</v>
      </c>
      <c r="D72" s="226">
        <v>661</v>
      </c>
      <c r="E72" s="226">
        <v>1</v>
      </c>
      <c r="F72" s="225"/>
      <c r="G72" s="215" t="s">
        <v>813</v>
      </c>
      <c r="H72" s="226">
        <v>661</v>
      </c>
      <c r="I72" s="226">
        <v>661</v>
      </c>
      <c r="J72" s="226">
        <v>567</v>
      </c>
      <c r="K72" s="226">
        <v>0</v>
      </c>
      <c r="L72" s="215" t="s">
        <v>817</v>
      </c>
      <c r="M72" s="215">
        <v>6071010417</v>
      </c>
    </row>
    <row r="73" spans="1:13" ht="16.2" thickBot="1" x14ac:dyDescent="0.35">
      <c r="A73" s="215"/>
      <c r="B73" s="224">
        <v>41107</v>
      </c>
      <c r="C73" s="226">
        <v>4</v>
      </c>
      <c r="D73" s="226">
        <v>4</v>
      </c>
      <c r="E73" s="226">
        <v>1</v>
      </c>
      <c r="F73" s="225"/>
      <c r="G73" s="215" t="s">
        <v>813</v>
      </c>
      <c r="H73" s="226">
        <v>4</v>
      </c>
      <c r="I73" s="226">
        <v>4</v>
      </c>
      <c r="J73" s="226">
        <v>3</v>
      </c>
      <c r="K73" s="226">
        <v>0</v>
      </c>
      <c r="L73" s="215" t="s">
        <v>817</v>
      </c>
      <c r="M73" s="215">
        <v>6071010417</v>
      </c>
    </row>
    <row r="74" spans="1:13" ht="16.2" thickBot="1" x14ac:dyDescent="0.35">
      <c r="A74" s="215"/>
      <c r="B74" s="224">
        <v>41108</v>
      </c>
      <c r="C74" s="226">
        <v>7</v>
      </c>
      <c r="D74" s="226">
        <v>7</v>
      </c>
      <c r="E74" s="226">
        <v>1</v>
      </c>
      <c r="F74" s="225"/>
      <c r="G74" s="215" t="s">
        <v>813</v>
      </c>
      <c r="H74" s="226">
        <v>7</v>
      </c>
      <c r="I74" s="226">
        <v>7</v>
      </c>
      <c r="J74" s="226">
        <v>5</v>
      </c>
      <c r="K74" s="226">
        <v>0</v>
      </c>
      <c r="L74" s="215" t="s">
        <v>817</v>
      </c>
      <c r="M74" s="215">
        <v>6071010417</v>
      </c>
    </row>
    <row r="75" spans="1:13" ht="16.2" thickBot="1" x14ac:dyDescent="0.35">
      <c r="A75" s="215"/>
      <c r="B75" s="224">
        <v>41111</v>
      </c>
      <c r="C75" s="226">
        <v>28</v>
      </c>
      <c r="D75" s="226">
        <v>28</v>
      </c>
      <c r="E75" s="226">
        <v>1</v>
      </c>
      <c r="F75" s="225"/>
      <c r="G75" s="215" t="s">
        <v>813</v>
      </c>
      <c r="H75" s="226">
        <v>28</v>
      </c>
      <c r="I75" s="226">
        <v>28</v>
      </c>
      <c r="J75" s="226">
        <v>19</v>
      </c>
      <c r="K75" s="226">
        <v>0</v>
      </c>
      <c r="L75" s="215" t="s">
        <v>814</v>
      </c>
      <c r="M75" s="215">
        <v>6065044524</v>
      </c>
    </row>
    <row r="76" spans="1:13" ht="31.8" thickBot="1" x14ac:dyDescent="0.35">
      <c r="A76" s="215"/>
      <c r="B76" s="224">
        <v>41112</v>
      </c>
      <c r="C76" s="226">
        <v>92</v>
      </c>
      <c r="D76" s="226">
        <v>105</v>
      </c>
      <c r="E76" s="226">
        <v>2</v>
      </c>
      <c r="F76" s="225"/>
      <c r="G76" s="215" t="s">
        <v>813</v>
      </c>
      <c r="H76" s="226">
        <v>183</v>
      </c>
      <c r="I76" s="226">
        <v>209</v>
      </c>
      <c r="J76" s="226">
        <v>129</v>
      </c>
      <c r="K76" s="226">
        <v>0</v>
      </c>
      <c r="L76" s="215" t="s">
        <v>814</v>
      </c>
      <c r="M76" s="215" t="s">
        <v>853</v>
      </c>
    </row>
    <row r="77" spans="1:13" ht="31.8" thickBot="1" x14ac:dyDescent="0.35">
      <c r="A77" s="215"/>
      <c r="B77" s="224">
        <v>41113</v>
      </c>
      <c r="C77" s="226">
        <v>431</v>
      </c>
      <c r="D77" s="226">
        <v>486</v>
      </c>
      <c r="E77" s="226">
        <v>1</v>
      </c>
      <c r="F77" s="225"/>
      <c r="G77" s="215" t="s">
        <v>813</v>
      </c>
      <c r="H77" s="226">
        <v>431</v>
      </c>
      <c r="I77" s="226">
        <v>486</v>
      </c>
      <c r="J77" s="226">
        <v>267</v>
      </c>
      <c r="K77" s="226">
        <v>1</v>
      </c>
      <c r="L77" s="215" t="s">
        <v>827</v>
      </c>
      <c r="M77" s="215" t="s">
        <v>832</v>
      </c>
    </row>
    <row r="78" spans="1:13" ht="31.8" thickBot="1" x14ac:dyDescent="0.35">
      <c r="A78" s="215"/>
      <c r="B78" s="224">
        <v>41114</v>
      </c>
      <c r="C78" s="226">
        <v>1418</v>
      </c>
      <c r="D78" s="226">
        <v>1420</v>
      </c>
      <c r="E78" s="226">
        <v>1</v>
      </c>
      <c r="F78" s="225"/>
      <c r="G78" s="215" t="s">
        <v>813</v>
      </c>
      <c r="H78" s="226">
        <v>1418</v>
      </c>
      <c r="I78" s="226">
        <v>1420</v>
      </c>
      <c r="J78" s="226">
        <v>1416</v>
      </c>
      <c r="K78" s="226">
        <v>0</v>
      </c>
      <c r="L78" s="215" t="s">
        <v>867</v>
      </c>
      <c r="M78" s="215" t="s">
        <v>888</v>
      </c>
    </row>
    <row r="79" spans="1:13" ht="94.2" thickBot="1" x14ac:dyDescent="0.35">
      <c r="A79" s="215"/>
      <c r="B79" s="224">
        <v>41115</v>
      </c>
      <c r="C79" s="226">
        <v>1217</v>
      </c>
      <c r="D79" s="226">
        <v>1250</v>
      </c>
      <c r="E79" s="226">
        <v>2</v>
      </c>
      <c r="F79" s="225"/>
      <c r="G79" s="215" t="s">
        <v>813</v>
      </c>
      <c r="H79" s="226">
        <v>2434</v>
      </c>
      <c r="I79" s="226">
        <v>2499</v>
      </c>
      <c r="J79" s="226">
        <v>2314</v>
      </c>
      <c r="K79" s="226">
        <v>0</v>
      </c>
      <c r="L79" s="215" t="s">
        <v>867</v>
      </c>
      <c r="M79" s="215" t="s">
        <v>889</v>
      </c>
    </row>
    <row r="80" spans="1:13" ht="16.2" thickBot="1" x14ac:dyDescent="0.35">
      <c r="A80" s="215"/>
      <c r="B80" s="224">
        <v>41116</v>
      </c>
      <c r="C80" s="226">
        <v>362</v>
      </c>
      <c r="D80" s="226">
        <v>364</v>
      </c>
      <c r="E80" s="226">
        <v>1</v>
      </c>
      <c r="F80" s="225"/>
      <c r="G80" s="215" t="s">
        <v>813</v>
      </c>
      <c r="H80" s="226">
        <v>362</v>
      </c>
      <c r="I80" s="226">
        <v>364</v>
      </c>
      <c r="J80" s="226">
        <v>253</v>
      </c>
      <c r="K80" s="226">
        <v>0</v>
      </c>
      <c r="L80" s="215" t="s">
        <v>825</v>
      </c>
      <c r="M80" s="215">
        <v>6065046900</v>
      </c>
    </row>
    <row r="81" spans="1:13" ht="94.2" thickBot="1" x14ac:dyDescent="0.35">
      <c r="A81" s="215"/>
      <c r="B81" s="224">
        <v>41117</v>
      </c>
      <c r="C81" s="226">
        <v>2725</v>
      </c>
      <c r="D81" s="226">
        <v>2829</v>
      </c>
      <c r="E81" s="226">
        <v>3</v>
      </c>
      <c r="F81" s="225"/>
      <c r="G81" s="215" t="s">
        <v>813</v>
      </c>
      <c r="H81" s="226">
        <v>8176</v>
      </c>
      <c r="I81" s="226">
        <v>8486</v>
      </c>
      <c r="J81" s="226">
        <v>7647</v>
      </c>
      <c r="K81" s="226">
        <v>0</v>
      </c>
      <c r="L81" s="215" t="s">
        <v>814</v>
      </c>
      <c r="M81" s="215" t="s">
        <v>890</v>
      </c>
    </row>
    <row r="82" spans="1:13" ht="109.8" thickBot="1" x14ac:dyDescent="0.35">
      <c r="A82" s="215"/>
      <c r="B82" s="224">
        <v>41119</v>
      </c>
      <c r="C82" s="226">
        <v>3802</v>
      </c>
      <c r="D82" s="226">
        <v>3809</v>
      </c>
      <c r="E82" s="226">
        <v>2</v>
      </c>
      <c r="F82" s="225"/>
      <c r="G82" s="215" t="s">
        <v>813</v>
      </c>
      <c r="H82" s="226">
        <v>7603</v>
      </c>
      <c r="I82" s="226">
        <v>7617</v>
      </c>
      <c r="J82" s="226">
        <v>7342</v>
      </c>
      <c r="K82" s="226">
        <v>0</v>
      </c>
      <c r="L82" s="215" t="s">
        <v>878</v>
      </c>
      <c r="M82" s="215" t="s">
        <v>891</v>
      </c>
    </row>
    <row r="83" spans="1:13" ht="409.6" thickBot="1" x14ac:dyDescent="0.35">
      <c r="A83" s="215"/>
      <c r="B83" s="224">
        <v>41120</v>
      </c>
      <c r="C83" s="226">
        <v>4272</v>
      </c>
      <c r="D83" s="226">
        <v>4559</v>
      </c>
      <c r="E83" s="226">
        <v>13</v>
      </c>
      <c r="F83" s="225"/>
      <c r="G83" s="215" t="s">
        <v>813</v>
      </c>
      <c r="H83" s="226">
        <v>55535</v>
      </c>
      <c r="I83" s="226">
        <v>59262</v>
      </c>
      <c r="J83" s="226">
        <v>54125</v>
      </c>
      <c r="K83" s="226">
        <v>6</v>
      </c>
      <c r="L83" s="215" t="s">
        <v>892</v>
      </c>
      <c r="M83" s="215" t="s">
        <v>893</v>
      </c>
    </row>
    <row r="84" spans="1:13" ht="16.2" thickBot="1" x14ac:dyDescent="0.35">
      <c r="A84" s="215"/>
      <c r="B84" s="224">
        <v>41124</v>
      </c>
      <c r="C84" s="226">
        <v>60</v>
      </c>
      <c r="D84" s="226">
        <v>60</v>
      </c>
      <c r="E84" s="226">
        <v>1</v>
      </c>
      <c r="F84" s="225"/>
      <c r="G84" s="215" t="s">
        <v>813</v>
      </c>
      <c r="H84" s="226">
        <v>60</v>
      </c>
      <c r="I84" s="226">
        <v>60</v>
      </c>
      <c r="J84" s="226">
        <v>50</v>
      </c>
      <c r="K84" s="226">
        <v>0</v>
      </c>
      <c r="L84" s="215" t="s">
        <v>817</v>
      </c>
      <c r="M84" s="215">
        <v>6071010417</v>
      </c>
    </row>
    <row r="85" spans="1:13" ht="31.8" thickBot="1" x14ac:dyDescent="0.35">
      <c r="A85" s="215"/>
      <c r="B85" s="224">
        <v>41125</v>
      </c>
      <c r="C85" s="226">
        <v>101</v>
      </c>
      <c r="D85" s="226">
        <v>101</v>
      </c>
      <c r="E85" s="226">
        <v>1</v>
      </c>
      <c r="F85" s="225"/>
      <c r="G85" s="215" t="s">
        <v>813</v>
      </c>
      <c r="H85" s="226">
        <v>101</v>
      </c>
      <c r="I85" s="226">
        <v>101</v>
      </c>
      <c r="J85" s="226">
        <v>83</v>
      </c>
      <c r="K85" s="226">
        <v>0</v>
      </c>
      <c r="L85" s="215" t="s">
        <v>817</v>
      </c>
      <c r="M85" s="215" t="s">
        <v>894</v>
      </c>
    </row>
    <row r="86" spans="1:13" ht="31.8" thickBot="1" x14ac:dyDescent="0.35">
      <c r="A86" s="215"/>
      <c r="B86" s="224">
        <v>41126</v>
      </c>
      <c r="C86" s="226">
        <v>10</v>
      </c>
      <c r="D86" s="226">
        <v>10</v>
      </c>
      <c r="E86" s="226">
        <v>1</v>
      </c>
      <c r="F86" s="225"/>
      <c r="G86" s="215" t="s">
        <v>813</v>
      </c>
      <c r="H86" s="226">
        <v>10</v>
      </c>
      <c r="I86" s="226">
        <v>10</v>
      </c>
      <c r="J86" s="226">
        <v>9</v>
      </c>
      <c r="K86" s="226">
        <v>0</v>
      </c>
      <c r="L86" s="215" t="s">
        <v>817</v>
      </c>
      <c r="M86" s="215" t="s">
        <v>895</v>
      </c>
    </row>
    <row r="87" spans="1:13" ht="297" thickBot="1" x14ac:dyDescent="0.35">
      <c r="A87" s="215"/>
      <c r="B87" s="224">
        <v>41127</v>
      </c>
      <c r="C87" s="226">
        <v>4555</v>
      </c>
      <c r="D87" s="226">
        <v>4646</v>
      </c>
      <c r="E87" s="226">
        <v>7</v>
      </c>
      <c r="F87" s="225"/>
      <c r="G87" s="215" t="s">
        <v>813</v>
      </c>
      <c r="H87" s="226">
        <v>31886</v>
      </c>
      <c r="I87" s="226">
        <v>32521</v>
      </c>
      <c r="J87" s="226">
        <v>29977</v>
      </c>
      <c r="K87" s="226">
        <v>0</v>
      </c>
      <c r="L87" s="215" t="s">
        <v>896</v>
      </c>
      <c r="M87" s="215" t="s">
        <v>897</v>
      </c>
    </row>
    <row r="88" spans="1:13" ht="409.6" thickBot="1" x14ac:dyDescent="0.35">
      <c r="A88" s="215"/>
      <c r="B88" s="224">
        <v>41130</v>
      </c>
      <c r="C88" s="226">
        <v>2951</v>
      </c>
      <c r="D88" s="226">
        <v>3000</v>
      </c>
      <c r="E88" s="226">
        <v>11</v>
      </c>
      <c r="F88" s="225"/>
      <c r="G88" s="215" t="s">
        <v>813</v>
      </c>
      <c r="H88" s="226">
        <v>32462</v>
      </c>
      <c r="I88" s="226">
        <v>32999</v>
      </c>
      <c r="J88" s="226">
        <v>30793</v>
      </c>
      <c r="K88" s="226">
        <v>2</v>
      </c>
      <c r="L88" s="215" t="s">
        <v>886</v>
      </c>
      <c r="M88" s="215" t="s">
        <v>898</v>
      </c>
    </row>
    <row r="89" spans="1:13" ht="31.8" thickBot="1" x14ac:dyDescent="0.35">
      <c r="A89" s="215"/>
      <c r="B89" s="224">
        <v>41132</v>
      </c>
      <c r="C89" s="226">
        <v>526</v>
      </c>
      <c r="D89" s="226">
        <v>536</v>
      </c>
      <c r="E89" s="226">
        <v>1</v>
      </c>
      <c r="F89" s="225"/>
      <c r="G89" s="215" t="s">
        <v>813</v>
      </c>
      <c r="H89" s="226">
        <v>526</v>
      </c>
      <c r="I89" s="226">
        <v>536</v>
      </c>
      <c r="J89" s="226">
        <v>430</v>
      </c>
      <c r="K89" s="226">
        <v>0</v>
      </c>
      <c r="L89" s="215" t="s">
        <v>822</v>
      </c>
      <c r="M89" s="215" t="s">
        <v>899</v>
      </c>
    </row>
    <row r="90" spans="1:13" ht="31.8" thickBot="1" x14ac:dyDescent="0.35">
      <c r="A90" s="215"/>
      <c r="B90" s="224">
        <v>41133</v>
      </c>
      <c r="C90" s="226">
        <v>249</v>
      </c>
      <c r="D90" s="226">
        <v>265</v>
      </c>
      <c r="E90" s="226">
        <v>1</v>
      </c>
      <c r="F90" s="225"/>
      <c r="G90" s="215" t="s">
        <v>813</v>
      </c>
      <c r="H90" s="226">
        <v>249</v>
      </c>
      <c r="I90" s="226">
        <v>265</v>
      </c>
      <c r="J90" s="226">
        <v>243</v>
      </c>
      <c r="K90" s="226">
        <v>0</v>
      </c>
      <c r="L90" s="215" t="s">
        <v>822</v>
      </c>
      <c r="M90" s="215" t="s">
        <v>900</v>
      </c>
    </row>
    <row r="91" spans="1:13" ht="16.2" thickBot="1" x14ac:dyDescent="0.35">
      <c r="A91" s="215"/>
      <c r="B91" s="224">
        <v>41134</v>
      </c>
      <c r="C91" s="226">
        <v>8</v>
      </c>
      <c r="D91" s="226">
        <v>8</v>
      </c>
      <c r="E91" s="226">
        <v>1</v>
      </c>
      <c r="F91" s="225"/>
      <c r="G91" s="215" t="s">
        <v>813</v>
      </c>
      <c r="H91" s="226">
        <v>8</v>
      </c>
      <c r="I91" s="226">
        <v>8</v>
      </c>
      <c r="J91" s="226">
        <v>7</v>
      </c>
      <c r="K91" s="226">
        <v>0</v>
      </c>
      <c r="L91" s="215" t="s">
        <v>827</v>
      </c>
      <c r="M91" s="215">
        <v>6025011100</v>
      </c>
    </row>
    <row r="92" spans="1:13" ht="343.8" thickBot="1" x14ac:dyDescent="0.35">
      <c r="A92" s="215"/>
      <c r="B92" s="224">
        <v>41138</v>
      </c>
      <c r="C92" s="226">
        <v>3618</v>
      </c>
      <c r="D92" s="226">
        <v>3848</v>
      </c>
      <c r="E92" s="226">
        <v>10</v>
      </c>
      <c r="F92" s="225"/>
      <c r="G92" s="215" t="s">
        <v>813</v>
      </c>
      <c r="H92" s="226">
        <v>36175</v>
      </c>
      <c r="I92" s="226">
        <v>38478</v>
      </c>
      <c r="J92" s="226">
        <v>36391</v>
      </c>
      <c r="K92" s="226">
        <v>4</v>
      </c>
      <c r="L92" s="215" t="s">
        <v>814</v>
      </c>
      <c r="M92" s="215" t="s">
        <v>901</v>
      </c>
    </row>
    <row r="93" spans="1:13" ht="16.2" thickBot="1" x14ac:dyDescent="0.35">
      <c r="A93" s="215"/>
      <c r="B93" s="224">
        <v>41140</v>
      </c>
      <c r="C93" s="226">
        <v>54</v>
      </c>
      <c r="D93" s="226">
        <v>54</v>
      </c>
      <c r="E93" s="226">
        <v>1</v>
      </c>
      <c r="F93" s="225"/>
      <c r="G93" s="215" t="s">
        <v>813</v>
      </c>
      <c r="H93" s="226">
        <v>54</v>
      </c>
      <c r="I93" s="226">
        <v>54</v>
      </c>
      <c r="J93" s="226">
        <v>45</v>
      </c>
      <c r="K93" s="226">
        <v>0</v>
      </c>
      <c r="L93" s="215" t="s">
        <v>867</v>
      </c>
      <c r="M93" s="215">
        <v>6065042412</v>
      </c>
    </row>
    <row r="94" spans="1:13" ht="409.6" thickBot="1" x14ac:dyDescent="0.35">
      <c r="A94" s="215"/>
      <c r="B94" s="224">
        <v>41141</v>
      </c>
      <c r="C94" s="226">
        <v>3767</v>
      </c>
      <c r="D94" s="226">
        <v>3881</v>
      </c>
      <c r="E94" s="226">
        <v>14</v>
      </c>
      <c r="F94" s="225" t="s">
        <v>902</v>
      </c>
      <c r="G94" s="215" t="s">
        <v>813</v>
      </c>
      <c r="H94" s="226">
        <v>52744</v>
      </c>
      <c r="I94" s="226">
        <v>54338</v>
      </c>
      <c r="J94" s="226">
        <v>50054</v>
      </c>
      <c r="K94" s="226">
        <v>6</v>
      </c>
      <c r="L94" s="215" t="s">
        <v>903</v>
      </c>
      <c r="M94" s="215" t="s">
        <v>904</v>
      </c>
    </row>
    <row r="95" spans="1:13" ht="16.2" thickBot="1" x14ac:dyDescent="0.35">
      <c r="A95" s="215"/>
      <c r="B95" s="224">
        <v>41142</v>
      </c>
      <c r="C95" s="226">
        <v>92</v>
      </c>
      <c r="D95" s="226">
        <v>92</v>
      </c>
      <c r="E95" s="226">
        <v>1</v>
      </c>
      <c r="F95" s="225"/>
      <c r="G95" s="215" t="s">
        <v>813</v>
      </c>
      <c r="H95" s="226">
        <v>92</v>
      </c>
      <c r="I95" s="226">
        <v>92</v>
      </c>
      <c r="J95" s="226">
        <v>88</v>
      </c>
      <c r="K95" s="226">
        <v>0</v>
      </c>
      <c r="L95" s="215" t="s">
        <v>822</v>
      </c>
      <c r="M95" s="215">
        <v>6071008403</v>
      </c>
    </row>
    <row r="96" spans="1:13" ht="31.8" thickBot="1" x14ac:dyDescent="0.35">
      <c r="A96" s="215"/>
      <c r="B96" s="224">
        <v>41143</v>
      </c>
      <c r="C96" s="226">
        <v>292</v>
      </c>
      <c r="D96" s="226">
        <v>318</v>
      </c>
      <c r="E96" s="226">
        <v>1</v>
      </c>
      <c r="F96" s="225" t="s">
        <v>905</v>
      </c>
      <c r="G96" s="215" t="s">
        <v>813</v>
      </c>
      <c r="H96" s="226">
        <v>292</v>
      </c>
      <c r="I96" s="226">
        <v>318</v>
      </c>
      <c r="J96" s="226">
        <v>263</v>
      </c>
      <c r="K96" s="226">
        <v>0</v>
      </c>
      <c r="L96" s="215" t="s">
        <v>848</v>
      </c>
      <c r="M96" s="215" t="s">
        <v>906</v>
      </c>
    </row>
    <row r="97" spans="1:13" ht="16.2" thickBot="1" x14ac:dyDescent="0.35">
      <c r="A97" s="215"/>
      <c r="B97" s="224">
        <v>41144</v>
      </c>
      <c r="C97" s="226">
        <v>215</v>
      </c>
      <c r="D97" s="226">
        <v>312</v>
      </c>
      <c r="E97" s="226">
        <v>1</v>
      </c>
      <c r="F97" s="225" t="s">
        <v>907</v>
      </c>
      <c r="G97" s="215" t="s">
        <v>813</v>
      </c>
      <c r="H97" s="226">
        <v>215</v>
      </c>
      <c r="I97" s="226">
        <v>312</v>
      </c>
      <c r="J97" s="226">
        <v>199</v>
      </c>
      <c r="K97" s="226">
        <v>0</v>
      </c>
      <c r="L97" s="215" t="s">
        <v>825</v>
      </c>
      <c r="M97" s="215">
        <v>6065045900</v>
      </c>
    </row>
    <row r="98" spans="1:13" ht="125.4" thickBot="1" x14ac:dyDescent="0.35">
      <c r="A98" s="215"/>
      <c r="B98" s="224">
        <v>41145</v>
      </c>
      <c r="C98" s="226">
        <v>4325</v>
      </c>
      <c r="D98" s="226">
        <v>4402</v>
      </c>
      <c r="E98" s="226">
        <v>1</v>
      </c>
      <c r="F98" s="225"/>
      <c r="G98" s="215" t="s">
        <v>813</v>
      </c>
      <c r="H98" s="226">
        <v>4325</v>
      </c>
      <c r="I98" s="226">
        <v>4402</v>
      </c>
      <c r="J98" s="226">
        <v>3850</v>
      </c>
      <c r="K98" s="226">
        <v>0</v>
      </c>
      <c r="L98" s="215" t="s">
        <v>841</v>
      </c>
      <c r="M98" s="215" t="s">
        <v>908</v>
      </c>
    </row>
    <row r="99" spans="1:13" ht="16.2" thickBot="1" x14ac:dyDescent="0.35">
      <c r="A99" s="215"/>
      <c r="B99" s="224">
        <v>41147</v>
      </c>
      <c r="C99" s="226">
        <v>107</v>
      </c>
      <c r="D99" s="226">
        <v>111</v>
      </c>
      <c r="E99" s="226">
        <v>1</v>
      </c>
      <c r="F99" s="225"/>
      <c r="G99" s="215" t="s">
        <v>813</v>
      </c>
      <c r="H99" s="226">
        <v>107</v>
      </c>
      <c r="I99" s="226">
        <v>111</v>
      </c>
      <c r="J99" s="226">
        <v>99</v>
      </c>
      <c r="K99" s="226">
        <v>0</v>
      </c>
      <c r="L99" s="215" t="s">
        <v>909</v>
      </c>
      <c r="M99" s="215">
        <v>6065030700</v>
      </c>
    </row>
    <row r="100" spans="1:13" ht="94.2" thickBot="1" x14ac:dyDescent="0.35">
      <c r="A100" s="215"/>
      <c r="B100" s="224">
        <v>41149</v>
      </c>
      <c r="C100" s="226">
        <v>2086</v>
      </c>
      <c r="D100" s="226">
        <v>2087</v>
      </c>
      <c r="E100" s="226">
        <v>2</v>
      </c>
      <c r="F100" s="225" t="s">
        <v>910</v>
      </c>
      <c r="G100" s="215" t="s">
        <v>813</v>
      </c>
      <c r="H100" s="226">
        <v>4171</v>
      </c>
      <c r="I100" s="226">
        <v>4173</v>
      </c>
      <c r="J100" s="226">
        <v>3717</v>
      </c>
      <c r="K100" s="226">
        <v>0</v>
      </c>
      <c r="L100" s="215" t="s">
        <v>909</v>
      </c>
      <c r="M100" s="215" t="s">
        <v>911</v>
      </c>
    </row>
    <row r="101" spans="1:13" ht="409.6" thickBot="1" x14ac:dyDescent="0.35">
      <c r="A101" s="215"/>
      <c r="B101" s="224">
        <v>41150</v>
      </c>
      <c r="C101" s="226">
        <v>5468</v>
      </c>
      <c r="D101" s="226">
        <v>5613</v>
      </c>
      <c r="E101" s="226">
        <v>14</v>
      </c>
      <c r="F101" s="225"/>
      <c r="G101" s="215" t="s">
        <v>813</v>
      </c>
      <c r="H101" s="226">
        <v>76556</v>
      </c>
      <c r="I101" s="226">
        <v>78583</v>
      </c>
      <c r="J101" s="226">
        <v>72665</v>
      </c>
      <c r="K101" s="226">
        <v>3</v>
      </c>
      <c r="L101" s="215" t="s">
        <v>844</v>
      </c>
      <c r="M101" s="215" t="s">
        <v>912</v>
      </c>
    </row>
    <row r="102" spans="1:13" ht="47.4" thickBot="1" x14ac:dyDescent="0.35">
      <c r="A102" s="215"/>
      <c r="B102" s="224">
        <v>41153</v>
      </c>
      <c r="C102" s="226">
        <v>4942</v>
      </c>
      <c r="D102" s="226">
        <v>4999</v>
      </c>
      <c r="E102" s="226">
        <v>1</v>
      </c>
      <c r="F102" s="225"/>
      <c r="G102" s="215" t="s">
        <v>813</v>
      </c>
      <c r="H102" s="226">
        <v>4942</v>
      </c>
      <c r="I102" s="226">
        <v>4999</v>
      </c>
      <c r="J102" s="226">
        <v>4652</v>
      </c>
      <c r="K102" s="226">
        <v>0</v>
      </c>
      <c r="L102" s="215" t="s">
        <v>848</v>
      </c>
      <c r="M102" s="215" t="s">
        <v>913</v>
      </c>
    </row>
    <row r="103" spans="1:13" ht="375" thickBot="1" x14ac:dyDescent="0.35">
      <c r="A103" s="215"/>
      <c r="B103" s="224">
        <v>41154</v>
      </c>
      <c r="C103" s="226">
        <v>2699</v>
      </c>
      <c r="D103" s="226">
        <v>2838</v>
      </c>
      <c r="E103" s="226">
        <v>10</v>
      </c>
      <c r="F103" s="225" t="s">
        <v>914</v>
      </c>
      <c r="G103" s="215" t="s">
        <v>813</v>
      </c>
      <c r="H103" s="226">
        <v>26987</v>
      </c>
      <c r="I103" s="226">
        <v>28380</v>
      </c>
      <c r="J103" s="226">
        <v>24917</v>
      </c>
      <c r="K103" s="226">
        <v>3</v>
      </c>
      <c r="L103" s="215" t="s">
        <v>822</v>
      </c>
      <c r="M103" s="215" t="s">
        <v>915</v>
      </c>
    </row>
    <row r="104" spans="1:13" ht="47.4" thickBot="1" x14ac:dyDescent="0.35">
      <c r="A104" s="215"/>
      <c r="B104" s="224">
        <v>41155</v>
      </c>
      <c r="C104" s="226">
        <v>556</v>
      </c>
      <c r="D104" s="226">
        <v>562</v>
      </c>
      <c r="E104" s="226">
        <v>2</v>
      </c>
      <c r="F104" s="225"/>
      <c r="G104" s="215" t="s">
        <v>813</v>
      </c>
      <c r="H104" s="226">
        <v>1112</v>
      </c>
      <c r="I104" s="226">
        <v>1123</v>
      </c>
      <c r="J104" s="226">
        <v>1046</v>
      </c>
      <c r="K104" s="226">
        <v>0</v>
      </c>
      <c r="L104" s="215" t="s">
        <v>822</v>
      </c>
      <c r="M104" s="215" t="s">
        <v>916</v>
      </c>
    </row>
    <row r="105" spans="1:13" ht="409.6" thickBot="1" x14ac:dyDescent="0.35">
      <c r="A105" s="215"/>
      <c r="B105" s="224">
        <v>41156</v>
      </c>
      <c r="C105" s="226">
        <v>3162</v>
      </c>
      <c r="D105" s="226">
        <v>3244</v>
      </c>
      <c r="E105" s="226">
        <v>11</v>
      </c>
      <c r="F105" s="225" t="s">
        <v>917</v>
      </c>
      <c r="G105" s="215" t="s">
        <v>813</v>
      </c>
      <c r="H105" s="226">
        <v>34779</v>
      </c>
      <c r="I105" s="226">
        <v>35681</v>
      </c>
      <c r="J105" s="226">
        <v>31861</v>
      </c>
      <c r="K105" s="226">
        <v>0</v>
      </c>
      <c r="L105" s="215" t="s">
        <v>822</v>
      </c>
      <c r="M105" s="215" t="s">
        <v>918</v>
      </c>
    </row>
    <row r="106" spans="1:13" ht="31.8" thickBot="1" x14ac:dyDescent="0.35">
      <c r="A106" s="215"/>
      <c r="B106" s="224">
        <v>41160</v>
      </c>
      <c r="C106" s="226">
        <v>9</v>
      </c>
      <c r="D106" s="226">
        <v>9</v>
      </c>
      <c r="E106" s="226">
        <v>1</v>
      </c>
      <c r="F106" s="225"/>
      <c r="G106" s="215" t="s">
        <v>813</v>
      </c>
      <c r="H106" s="226">
        <v>9</v>
      </c>
      <c r="I106" s="226">
        <v>9</v>
      </c>
      <c r="J106" s="226">
        <v>5</v>
      </c>
      <c r="K106" s="226">
        <v>0</v>
      </c>
      <c r="L106" s="215" t="s">
        <v>822</v>
      </c>
      <c r="M106" s="215" t="s">
        <v>919</v>
      </c>
    </row>
    <row r="107" spans="1:13" ht="94.2" thickBot="1" x14ac:dyDescent="0.35">
      <c r="A107" s="215"/>
      <c r="B107" s="224">
        <v>41162</v>
      </c>
      <c r="C107" s="226">
        <v>1943</v>
      </c>
      <c r="D107" s="226">
        <v>1966</v>
      </c>
      <c r="E107" s="226">
        <v>3</v>
      </c>
      <c r="F107" s="225" t="s">
        <v>920</v>
      </c>
      <c r="G107" s="215" t="s">
        <v>813</v>
      </c>
      <c r="H107" s="226">
        <v>5828</v>
      </c>
      <c r="I107" s="226">
        <v>5897</v>
      </c>
      <c r="J107" s="226">
        <v>5276</v>
      </c>
      <c r="K107" s="226">
        <v>1</v>
      </c>
      <c r="L107" s="215" t="s">
        <v>822</v>
      </c>
      <c r="M107" s="215" t="s">
        <v>921</v>
      </c>
    </row>
    <row r="108" spans="1:13" ht="16.2" thickBot="1" x14ac:dyDescent="0.35">
      <c r="A108" s="215"/>
      <c r="B108" s="224">
        <v>41163</v>
      </c>
      <c r="C108" s="226">
        <v>17</v>
      </c>
      <c r="D108" s="226">
        <v>17</v>
      </c>
      <c r="E108" s="226">
        <v>1</v>
      </c>
      <c r="F108" s="225"/>
      <c r="G108" s="215" t="s">
        <v>813</v>
      </c>
      <c r="H108" s="226">
        <v>17</v>
      </c>
      <c r="I108" s="226">
        <v>17</v>
      </c>
      <c r="J108" s="226">
        <v>4</v>
      </c>
      <c r="K108" s="226">
        <v>0</v>
      </c>
      <c r="L108" s="215" t="s">
        <v>838</v>
      </c>
      <c r="M108" s="215">
        <v>6071003804</v>
      </c>
    </row>
    <row r="109" spans="1:13" ht="16.2" thickBot="1" x14ac:dyDescent="0.35">
      <c r="A109" s="215"/>
      <c r="B109" s="224">
        <v>41164</v>
      </c>
      <c r="C109" s="226">
        <v>468</v>
      </c>
      <c r="D109" s="226">
        <v>578</v>
      </c>
      <c r="E109" s="226">
        <v>1</v>
      </c>
      <c r="F109" s="225"/>
      <c r="G109" s="215" t="s">
        <v>813</v>
      </c>
      <c r="H109" s="226">
        <v>468</v>
      </c>
      <c r="I109" s="226">
        <v>578</v>
      </c>
      <c r="J109" s="226">
        <v>487</v>
      </c>
      <c r="K109" s="226">
        <v>0</v>
      </c>
      <c r="L109" s="215" t="s">
        <v>827</v>
      </c>
      <c r="M109" s="215">
        <v>6025011100</v>
      </c>
    </row>
    <row r="110" spans="1:13" ht="375" thickBot="1" x14ac:dyDescent="0.35">
      <c r="A110" s="215"/>
      <c r="B110" s="224">
        <v>41165</v>
      </c>
      <c r="C110" s="226">
        <v>5295</v>
      </c>
      <c r="D110" s="226">
        <v>5370</v>
      </c>
      <c r="E110" s="226">
        <v>8</v>
      </c>
      <c r="F110" s="225"/>
      <c r="G110" s="215" t="s">
        <v>813</v>
      </c>
      <c r="H110" s="226">
        <v>42357</v>
      </c>
      <c r="I110" s="226">
        <v>42958</v>
      </c>
      <c r="J110" s="226">
        <v>41743</v>
      </c>
      <c r="K110" s="226">
        <v>2</v>
      </c>
      <c r="L110" s="215" t="s">
        <v>922</v>
      </c>
      <c r="M110" s="215" t="s">
        <v>923</v>
      </c>
    </row>
    <row r="111" spans="1:13" ht="409.6" thickBot="1" x14ac:dyDescent="0.35">
      <c r="A111" s="215"/>
      <c r="B111" s="224">
        <v>41168</v>
      </c>
      <c r="C111" s="226">
        <v>4909</v>
      </c>
      <c r="D111" s="226">
        <v>5031</v>
      </c>
      <c r="E111" s="226">
        <v>25</v>
      </c>
      <c r="F111" s="225"/>
      <c r="G111" s="215" t="s">
        <v>813</v>
      </c>
      <c r="H111" s="226">
        <v>122728</v>
      </c>
      <c r="I111" s="226">
        <v>125772</v>
      </c>
      <c r="J111" s="226">
        <v>118817</v>
      </c>
      <c r="K111" s="226">
        <v>7</v>
      </c>
      <c r="L111" s="215" t="s">
        <v>861</v>
      </c>
      <c r="M111" s="215" t="s">
        <v>924</v>
      </c>
    </row>
    <row r="112" spans="1:13" ht="141" thickBot="1" x14ac:dyDescent="0.35">
      <c r="A112" s="215"/>
      <c r="B112" s="224">
        <v>41180</v>
      </c>
      <c r="C112" s="226">
        <v>4037</v>
      </c>
      <c r="D112" s="226">
        <v>4059</v>
      </c>
      <c r="E112" s="226">
        <v>2</v>
      </c>
      <c r="F112" s="225"/>
      <c r="G112" s="215" t="s">
        <v>813</v>
      </c>
      <c r="H112" s="226">
        <v>8073</v>
      </c>
      <c r="I112" s="226">
        <v>8118</v>
      </c>
      <c r="J112" s="226">
        <v>7331</v>
      </c>
      <c r="K112" s="226">
        <v>0</v>
      </c>
      <c r="L112" s="215" t="s">
        <v>909</v>
      </c>
      <c r="M112" s="215" t="s">
        <v>925</v>
      </c>
    </row>
    <row r="113" spans="1:13" ht="16.2" thickBot="1" x14ac:dyDescent="0.35">
      <c r="A113" s="215"/>
      <c r="B113" s="224">
        <v>41181</v>
      </c>
      <c r="C113" s="226">
        <v>63</v>
      </c>
      <c r="D113" s="226">
        <v>63</v>
      </c>
      <c r="E113" s="226">
        <v>1</v>
      </c>
      <c r="F113" s="225"/>
      <c r="G113" s="215" t="s">
        <v>813</v>
      </c>
      <c r="H113" s="226">
        <v>63</v>
      </c>
      <c r="I113" s="226">
        <v>63</v>
      </c>
      <c r="J113" s="226">
        <v>54</v>
      </c>
      <c r="K113" s="226">
        <v>0</v>
      </c>
      <c r="L113" s="215" t="s">
        <v>909</v>
      </c>
      <c r="M113" s="215">
        <v>6065040202</v>
      </c>
    </row>
    <row r="114" spans="1:13" ht="109.8" thickBot="1" x14ac:dyDescent="0.35">
      <c r="A114" s="215"/>
      <c r="B114" s="224">
        <v>41182</v>
      </c>
      <c r="C114" s="226">
        <v>1888</v>
      </c>
      <c r="D114" s="226">
        <v>1900</v>
      </c>
      <c r="E114" s="226">
        <v>2</v>
      </c>
      <c r="F114" s="225"/>
      <c r="G114" s="215" t="s">
        <v>813</v>
      </c>
      <c r="H114" s="226">
        <v>3775</v>
      </c>
      <c r="I114" s="226">
        <v>3799</v>
      </c>
      <c r="J114" s="226">
        <v>3719</v>
      </c>
      <c r="K114" s="226">
        <v>0</v>
      </c>
      <c r="L114" s="215" t="s">
        <v>909</v>
      </c>
      <c r="M114" s="215" t="s">
        <v>926</v>
      </c>
    </row>
    <row r="115" spans="1:13" ht="16.2" thickBot="1" x14ac:dyDescent="0.35">
      <c r="A115" s="215"/>
      <c r="B115" s="224">
        <v>41184</v>
      </c>
      <c r="C115" s="226">
        <v>621</v>
      </c>
      <c r="D115" s="226">
        <v>731</v>
      </c>
      <c r="E115" s="226">
        <v>1</v>
      </c>
      <c r="F115" s="225"/>
      <c r="G115" s="215" t="s">
        <v>813</v>
      </c>
      <c r="H115" s="226">
        <v>621</v>
      </c>
      <c r="I115" s="226">
        <v>731</v>
      </c>
      <c r="J115" s="226">
        <v>648</v>
      </c>
      <c r="K115" s="226">
        <v>0</v>
      </c>
      <c r="L115" s="215" t="s">
        <v>827</v>
      </c>
      <c r="M115" s="215">
        <v>6025010200</v>
      </c>
    </row>
    <row r="116" spans="1:13" ht="31.8" thickBot="1" x14ac:dyDescent="0.35">
      <c r="A116" s="215"/>
      <c r="B116" s="224">
        <v>41186</v>
      </c>
      <c r="C116" s="226">
        <v>2790</v>
      </c>
      <c r="D116" s="226">
        <v>2831</v>
      </c>
      <c r="E116" s="226">
        <v>1</v>
      </c>
      <c r="F116" s="225" t="s">
        <v>927</v>
      </c>
      <c r="G116" s="215" t="s">
        <v>813</v>
      </c>
      <c r="H116" s="226">
        <v>2790</v>
      </c>
      <c r="I116" s="226">
        <v>2831</v>
      </c>
      <c r="J116" s="226">
        <v>2745</v>
      </c>
      <c r="K116" s="226">
        <v>0</v>
      </c>
      <c r="L116" s="215" t="s">
        <v>822</v>
      </c>
      <c r="M116" s="215" t="s">
        <v>928</v>
      </c>
    </row>
    <row r="117" spans="1:13" ht="250.2" thickBot="1" x14ac:dyDescent="0.35">
      <c r="A117" s="215"/>
      <c r="B117" s="224">
        <v>41187</v>
      </c>
      <c r="C117" s="226">
        <v>3063</v>
      </c>
      <c r="D117" s="226">
        <v>3120</v>
      </c>
      <c r="E117" s="226">
        <v>7</v>
      </c>
      <c r="F117" s="225"/>
      <c r="G117" s="215" t="s">
        <v>813</v>
      </c>
      <c r="H117" s="226">
        <v>21444</v>
      </c>
      <c r="I117" s="226">
        <v>21838</v>
      </c>
      <c r="J117" s="226">
        <v>20202</v>
      </c>
      <c r="K117" s="226">
        <v>0</v>
      </c>
      <c r="L117" s="215" t="s">
        <v>896</v>
      </c>
      <c r="M117" s="215" t="s">
        <v>929</v>
      </c>
    </row>
    <row r="118" spans="1:13" ht="125.4" thickBot="1" x14ac:dyDescent="0.35">
      <c r="A118" s="215"/>
      <c r="B118" s="224">
        <v>41188</v>
      </c>
      <c r="C118" s="226">
        <v>1816</v>
      </c>
      <c r="D118" s="226">
        <v>1820</v>
      </c>
      <c r="E118" s="226">
        <v>4</v>
      </c>
      <c r="F118" s="225"/>
      <c r="G118" s="215" t="s">
        <v>813</v>
      </c>
      <c r="H118" s="226">
        <v>7263</v>
      </c>
      <c r="I118" s="226">
        <v>7281</v>
      </c>
      <c r="J118" s="226">
        <v>6328</v>
      </c>
      <c r="K118" s="226">
        <v>1</v>
      </c>
      <c r="L118" s="215" t="s">
        <v>817</v>
      </c>
      <c r="M118" s="215" t="s">
        <v>930</v>
      </c>
    </row>
    <row r="119" spans="1:13" ht="47.4" thickBot="1" x14ac:dyDescent="0.35">
      <c r="A119" s="215"/>
      <c r="B119" s="224">
        <v>41190</v>
      </c>
      <c r="C119" s="226">
        <v>362</v>
      </c>
      <c r="D119" s="226">
        <v>362</v>
      </c>
      <c r="E119" s="226">
        <v>1</v>
      </c>
      <c r="F119" s="225"/>
      <c r="G119" s="215" t="s">
        <v>813</v>
      </c>
      <c r="H119" s="226">
        <v>362</v>
      </c>
      <c r="I119" s="226">
        <v>362</v>
      </c>
      <c r="J119" s="226">
        <v>344</v>
      </c>
      <c r="K119" s="226">
        <v>0</v>
      </c>
      <c r="L119" s="215" t="s">
        <v>817</v>
      </c>
      <c r="M119" s="215" t="s">
        <v>931</v>
      </c>
    </row>
    <row r="120" spans="1:13" ht="16.2" thickBot="1" x14ac:dyDescent="0.35">
      <c r="A120" s="215"/>
      <c r="B120" s="224">
        <v>41194</v>
      </c>
      <c r="C120" s="226">
        <v>22</v>
      </c>
      <c r="D120" s="226">
        <v>22</v>
      </c>
      <c r="E120" s="226">
        <v>1</v>
      </c>
      <c r="F120" s="225"/>
      <c r="G120" s="215" t="s">
        <v>813</v>
      </c>
      <c r="H120" s="226">
        <v>22</v>
      </c>
      <c r="I120" s="226">
        <v>22</v>
      </c>
      <c r="J120" s="226">
        <v>12</v>
      </c>
      <c r="K120" s="226">
        <v>0</v>
      </c>
      <c r="L120" s="215" t="s">
        <v>932</v>
      </c>
      <c r="M120" s="215">
        <v>6071000817</v>
      </c>
    </row>
    <row r="121" spans="1:13" ht="16.2" thickBot="1" x14ac:dyDescent="0.35">
      <c r="A121" s="215"/>
      <c r="B121" s="224">
        <v>41196</v>
      </c>
      <c r="C121" s="226">
        <v>7</v>
      </c>
      <c r="D121" s="226">
        <v>17</v>
      </c>
      <c r="E121" s="226">
        <v>1</v>
      </c>
      <c r="F121" s="225"/>
      <c r="G121" s="215" t="s">
        <v>813</v>
      </c>
      <c r="H121" s="226">
        <v>7</v>
      </c>
      <c r="I121" s="226">
        <v>17</v>
      </c>
      <c r="J121" s="226">
        <v>4</v>
      </c>
      <c r="K121" s="226">
        <v>0</v>
      </c>
      <c r="L121" s="215" t="s">
        <v>827</v>
      </c>
      <c r="M121" s="215">
        <v>6025011903</v>
      </c>
    </row>
    <row r="122" spans="1:13" ht="78.599999999999994" thickBot="1" x14ac:dyDescent="0.35">
      <c r="A122" s="215"/>
      <c r="B122" s="224">
        <v>41197</v>
      </c>
      <c r="C122" s="226">
        <v>3621</v>
      </c>
      <c r="D122" s="226">
        <v>3785</v>
      </c>
      <c r="E122" s="226">
        <v>1</v>
      </c>
      <c r="F122" s="225"/>
      <c r="G122" s="215" t="s">
        <v>813</v>
      </c>
      <c r="H122" s="226">
        <v>3621</v>
      </c>
      <c r="I122" s="226">
        <v>3785</v>
      </c>
      <c r="J122" s="226">
        <v>3715</v>
      </c>
      <c r="K122" s="226">
        <v>0</v>
      </c>
      <c r="L122" s="215" t="s">
        <v>861</v>
      </c>
      <c r="M122" s="215" t="s">
        <v>933</v>
      </c>
    </row>
    <row r="123" spans="1:13" ht="16.2" thickBot="1" x14ac:dyDescent="0.35">
      <c r="A123" s="215"/>
      <c r="B123" s="224">
        <v>41200</v>
      </c>
      <c r="C123" s="226">
        <v>32</v>
      </c>
      <c r="D123" s="226">
        <v>32</v>
      </c>
      <c r="E123" s="226">
        <v>1</v>
      </c>
      <c r="F123" s="225"/>
      <c r="G123" s="215" t="s">
        <v>813</v>
      </c>
      <c r="H123" s="226">
        <v>32</v>
      </c>
      <c r="I123" s="226">
        <v>32</v>
      </c>
      <c r="J123" s="226">
        <v>32</v>
      </c>
      <c r="K123" s="226">
        <v>0</v>
      </c>
      <c r="L123" s="215" t="s">
        <v>814</v>
      </c>
      <c r="M123" s="215">
        <v>6065045228</v>
      </c>
    </row>
    <row r="124" spans="1:13" ht="31.8" thickBot="1" x14ac:dyDescent="0.35">
      <c r="A124" s="215"/>
      <c r="B124" s="224">
        <v>41201</v>
      </c>
      <c r="C124" s="226">
        <v>11</v>
      </c>
      <c r="D124" s="226">
        <v>12</v>
      </c>
      <c r="E124" s="226">
        <v>1</v>
      </c>
      <c r="F124" s="225"/>
      <c r="G124" s="215" t="s">
        <v>813</v>
      </c>
      <c r="H124" s="226">
        <v>11</v>
      </c>
      <c r="I124" s="226">
        <v>12</v>
      </c>
      <c r="J124" s="226">
        <v>9</v>
      </c>
      <c r="K124" s="226">
        <v>1</v>
      </c>
      <c r="L124" s="215" t="s">
        <v>838</v>
      </c>
      <c r="M124" s="215" t="s">
        <v>934</v>
      </c>
    </row>
    <row r="125" spans="1:13" ht="16.2" thickBot="1" x14ac:dyDescent="0.35">
      <c r="A125" s="215"/>
      <c r="B125" s="224">
        <v>41202</v>
      </c>
      <c r="C125" s="226">
        <v>5</v>
      </c>
      <c r="D125" s="226">
        <v>5</v>
      </c>
      <c r="E125" s="226">
        <v>1</v>
      </c>
      <c r="F125" s="225"/>
      <c r="G125" s="215" t="s">
        <v>813</v>
      </c>
      <c r="H125" s="226">
        <v>5</v>
      </c>
      <c r="I125" s="226">
        <v>5</v>
      </c>
      <c r="J125" s="226">
        <v>1</v>
      </c>
      <c r="K125" s="226">
        <v>0</v>
      </c>
      <c r="L125" s="215" t="s">
        <v>846</v>
      </c>
      <c r="M125" s="215">
        <v>6065041500</v>
      </c>
    </row>
    <row r="126" spans="1:13" ht="31.8" thickBot="1" x14ac:dyDescent="0.35">
      <c r="A126" s="215"/>
      <c r="B126" s="224">
        <v>41203</v>
      </c>
      <c r="C126" s="226">
        <v>2</v>
      </c>
      <c r="D126" s="226">
        <v>2</v>
      </c>
      <c r="E126" s="226">
        <v>1</v>
      </c>
      <c r="F126" s="225"/>
      <c r="G126" s="215" t="s">
        <v>813</v>
      </c>
      <c r="H126" s="226">
        <v>2</v>
      </c>
      <c r="I126" s="226">
        <v>2</v>
      </c>
      <c r="J126" s="226">
        <v>1</v>
      </c>
      <c r="K126" s="226">
        <v>1</v>
      </c>
      <c r="L126" s="215" t="s">
        <v>909</v>
      </c>
      <c r="M126" s="215" t="s">
        <v>935</v>
      </c>
    </row>
    <row r="127" spans="1:13" ht="31.8" thickBot="1" x14ac:dyDescent="0.35">
      <c r="A127" s="215"/>
      <c r="B127" s="224">
        <v>41204</v>
      </c>
      <c r="C127" s="226">
        <v>2255</v>
      </c>
      <c r="D127" s="226">
        <v>2260</v>
      </c>
      <c r="E127" s="226">
        <v>1</v>
      </c>
      <c r="F127" s="225"/>
      <c r="G127" s="215" t="s">
        <v>813</v>
      </c>
      <c r="H127" s="226">
        <v>2255</v>
      </c>
      <c r="I127" s="226">
        <v>2260</v>
      </c>
      <c r="J127" s="226">
        <v>2270</v>
      </c>
      <c r="K127" s="226">
        <v>0</v>
      </c>
      <c r="L127" s="215" t="s">
        <v>835</v>
      </c>
      <c r="M127" s="215" t="s">
        <v>936</v>
      </c>
    </row>
    <row r="128" spans="1:13" ht="16.2" thickBot="1" x14ac:dyDescent="0.35">
      <c r="A128" s="215"/>
      <c r="B128" s="224">
        <v>41205</v>
      </c>
      <c r="C128" s="226">
        <v>29</v>
      </c>
      <c r="D128" s="226">
        <v>29</v>
      </c>
      <c r="E128" s="226">
        <v>1</v>
      </c>
      <c r="F128" s="225"/>
      <c r="G128" s="215" t="s">
        <v>813</v>
      </c>
      <c r="H128" s="226">
        <v>29</v>
      </c>
      <c r="I128" s="226">
        <v>29</v>
      </c>
      <c r="J128" s="226">
        <v>28</v>
      </c>
      <c r="K128" s="226">
        <v>0</v>
      </c>
      <c r="L128" s="215" t="s">
        <v>822</v>
      </c>
      <c r="M128" s="215">
        <v>6071009119</v>
      </c>
    </row>
    <row r="129" spans="1:13" ht="172.2" thickBot="1" x14ac:dyDescent="0.35">
      <c r="A129" s="215"/>
      <c r="B129" s="224">
        <v>41208</v>
      </c>
      <c r="C129" s="226">
        <v>4647</v>
      </c>
      <c r="D129" s="226">
        <v>4654</v>
      </c>
      <c r="E129" s="226">
        <v>2</v>
      </c>
      <c r="F129" s="225"/>
      <c r="G129" s="215" t="s">
        <v>813</v>
      </c>
      <c r="H129" s="226">
        <v>9294</v>
      </c>
      <c r="I129" s="226">
        <v>9307</v>
      </c>
      <c r="J129" s="226">
        <v>9036</v>
      </c>
      <c r="K129" s="226">
        <v>0</v>
      </c>
      <c r="L129" s="215" t="s">
        <v>932</v>
      </c>
      <c r="M129" s="215" t="s">
        <v>937</v>
      </c>
    </row>
    <row r="130" spans="1:13" ht="31.8" thickBot="1" x14ac:dyDescent="0.35">
      <c r="A130" s="215"/>
      <c r="B130" s="224">
        <v>41209</v>
      </c>
      <c r="C130" s="226">
        <v>1</v>
      </c>
      <c r="D130" s="226">
        <v>1</v>
      </c>
      <c r="E130" s="226">
        <v>1</v>
      </c>
      <c r="F130" s="225"/>
      <c r="G130" s="215" t="s">
        <v>813</v>
      </c>
      <c r="H130" s="226">
        <v>1</v>
      </c>
      <c r="I130" s="226">
        <v>1</v>
      </c>
      <c r="J130" s="226">
        <v>0</v>
      </c>
      <c r="K130" s="226">
        <v>1</v>
      </c>
      <c r="L130" s="215" t="s">
        <v>822</v>
      </c>
      <c r="M130" s="215" t="s">
        <v>938</v>
      </c>
    </row>
    <row r="131" spans="1:13" ht="16.2" thickBot="1" x14ac:dyDescent="0.35">
      <c r="A131" s="215"/>
      <c r="B131" s="224">
        <v>41210</v>
      </c>
      <c r="C131" s="226">
        <v>1421</v>
      </c>
      <c r="D131" s="226">
        <v>1421</v>
      </c>
      <c r="E131" s="226">
        <v>1</v>
      </c>
      <c r="F131" s="225"/>
      <c r="G131" s="215" t="s">
        <v>813</v>
      </c>
      <c r="H131" s="226">
        <v>1421</v>
      </c>
      <c r="I131" s="226">
        <v>1421</v>
      </c>
      <c r="J131" s="226">
        <v>1414</v>
      </c>
      <c r="K131" s="226">
        <v>0</v>
      </c>
      <c r="L131" s="215" t="s">
        <v>846</v>
      </c>
      <c r="M131" s="215">
        <v>6065042007</v>
      </c>
    </row>
    <row r="132" spans="1:13" ht="94.2" thickBot="1" x14ac:dyDescent="0.35">
      <c r="A132" s="215"/>
      <c r="B132" s="224">
        <v>41211</v>
      </c>
      <c r="C132" s="226">
        <v>2579</v>
      </c>
      <c r="D132" s="226">
        <v>2635</v>
      </c>
      <c r="E132" s="226">
        <v>2</v>
      </c>
      <c r="F132" s="225"/>
      <c r="G132" s="215" t="s">
        <v>813</v>
      </c>
      <c r="H132" s="226">
        <v>5157</v>
      </c>
      <c r="I132" s="226">
        <v>5269</v>
      </c>
      <c r="J132" s="226">
        <v>4660</v>
      </c>
      <c r="K132" s="226">
        <v>2</v>
      </c>
      <c r="L132" s="215" t="s">
        <v>822</v>
      </c>
      <c r="M132" s="215" t="s">
        <v>939</v>
      </c>
    </row>
    <row r="133" spans="1:13" ht="31.8" thickBot="1" x14ac:dyDescent="0.35">
      <c r="A133" s="215"/>
      <c r="B133" s="224">
        <v>41212</v>
      </c>
      <c r="C133" s="226">
        <v>1211</v>
      </c>
      <c r="D133" s="226">
        <v>1211</v>
      </c>
      <c r="E133" s="226">
        <v>1</v>
      </c>
      <c r="F133" s="225" t="s">
        <v>940</v>
      </c>
      <c r="G133" s="215" t="s">
        <v>813</v>
      </c>
      <c r="H133" s="226">
        <v>1211</v>
      </c>
      <c r="I133" s="226">
        <v>1211</v>
      </c>
      <c r="J133" s="226">
        <v>1157</v>
      </c>
      <c r="K133" s="226">
        <v>0</v>
      </c>
      <c r="L133" s="215" t="s">
        <v>909</v>
      </c>
      <c r="M133" s="215" t="s">
        <v>941</v>
      </c>
    </row>
    <row r="134" spans="1:13" ht="16.2" thickBot="1" x14ac:dyDescent="0.35">
      <c r="A134" s="215"/>
      <c r="B134" s="224">
        <v>41213</v>
      </c>
      <c r="C134" s="226">
        <v>5</v>
      </c>
      <c r="D134" s="226">
        <v>5</v>
      </c>
      <c r="E134" s="226">
        <v>1</v>
      </c>
      <c r="F134" s="225"/>
      <c r="G134" s="215" t="s">
        <v>813</v>
      </c>
      <c r="H134" s="226">
        <v>5</v>
      </c>
      <c r="I134" s="226">
        <v>5</v>
      </c>
      <c r="J134" s="226">
        <v>4</v>
      </c>
      <c r="K134" s="226">
        <v>0</v>
      </c>
      <c r="L134" s="215" t="s">
        <v>814</v>
      </c>
      <c r="M134" s="215">
        <v>6065940900</v>
      </c>
    </row>
    <row r="135" spans="1:13" ht="409.6" thickBot="1" x14ac:dyDescent="0.35">
      <c r="A135" s="215"/>
      <c r="B135" s="224">
        <v>42001</v>
      </c>
      <c r="C135" s="226">
        <v>8531</v>
      </c>
      <c r="D135" s="226">
        <v>8819</v>
      </c>
      <c r="E135" s="226">
        <v>63</v>
      </c>
      <c r="F135" s="225" t="s">
        <v>942</v>
      </c>
      <c r="G135" s="215" t="s">
        <v>813</v>
      </c>
      <c r="H135" s="226">
        <v>537444</v>
      </c>
      <c r="I135" s="226">
        <v>555612</v>
      </c>
      <c r="J135" s="226">
        <v>515974</v>
      </c>
      <c r="K135" s="226">
        <v>63</v>
      </c>
      <c r="L135" s="215" t="s">
        <v>943</v>
      </c>
      <c r="M135" s="215" t="s">
        <v>944</v>
      </c>
    </row>
    <row r="136" spans="1:13" ht="16.2" thickBot="1" x14ac:dyDescent="0.35">
      <c r="A136" s="215"/>
      <c r="B136" s="224">
        <v>42002</v>
      </c>
      <c r="C136" s="226">
        <v>308</v>
      </c>
      <c r="D136" s="226">
        <v>758</v>
      </c>
      <c r="E136" s="226">
        <v>1</v>
      </c>
      <c r="F136" s="225" t="s">
        <v>945</v>
      </c>
      <c r="G136" s="215" t="s">
        <v>813</v>
      </c>
      <c r="H136" s="226">
        <v>308</v>
      </c>
      <c r="I136" s="226">
        <v>758</v>
      </c>
      <c r="J136" s="226">
        <v>757</v>
      </c>
      <c r="K136" s="226">
        <v>0</v>
      </c>
      <c r="L136" s="215" t="s">
        <v>946</v>
      </c>
      <c r="M136" s="215">
        <v>6059110007</v>
      </c>
    </row>
    <row r="137" spans="1:13" ht="47.4" thickBot="1" x14ac:dyDescent="0.35">
      <c r="A137" s="215"/>
      <c r="B137" s="224">
        <v>42003</v>
      </c>
      <c r="C137" s="226">
        <v>16</v>
      </c>
      <c r="D137" s="226">
        <v>21</v>
      </c>
      <c r="E137" s="226">
        <v>1</v>
      </c>
      <c r="F137" s="225"/>
      <c r="G137" s="215" t="s">
        <v>813</v>
      </c>
      <c r="H137" s="226">
        <v>16</v>
      </c>
      <c r="I137" s="226">
        <v>21</v>
      </c>
      <c r="J137" s="226">
        <v>17</v>
      </c>
      <c r="K137" s="226">
        <v>0</v>
      </c>
      <c r="L137" s="215" t="s">
        <v>946</v>
      </c>
      <c r="M137" s="215" t="s">
        <v>947</v>
      </c>
    </row>
    <row r="138" spans="1:13" ht="31.8" thickBot="1" x14ac:dyDescent="0.35">
      <c r="A138" s="215"/>
      <c r="B138" s="224">
        <v>42004</v>
      </c>
      <c r="C138" s="226">
        <v>20</v>
      </c>
      <c r="D138" s="226">
        <v>20</v>
      </c>
      <c r="E138" s="226">
        <v>3</v>
      </c>
      <c r="F138" s="225"/>
      <c r="G138" s="215" t="s">
        <v>813</v>
      </c>
      <c r="H138" s="226">
        <v>61</v>
      </c>
      <c r="I138" s="226">
        <v>61</v>
      </c>
      <c r="J138" s="226">
        <v>21</v>
      </c>
      <c r="K138" s="226">
        <v>0</v>
      </c>
      <c r="L138" s="215" t="s">
        <v>948</v>
      </c>
      <c r="M138" s="215" t="s">
        <v>949</v>
      </c>
    </row>
    <row r="139" spans="1:13" ht="187.8" thickBot="1" x14ac:dyDescent="0.35">
      <c r="A139" s="215"/>
      <c r="B139" s="224">
        <v>42006</v>
      </c>
      <c r="C139" s="226">
        <v>5209</v>
      </c>
      <c r="D139" s="226">
        <v>5802</v>
      </c>
      <c r="E139" s="226">
        <v>4</v>
      </c>
      <c r="F139" s="225" t="s">
        <v>950</v>
      </c>
      <c r="G139" s="215" t="s">
        <v>813</v>
      </c>
      <c r="H139" s="226">
        <v>20835</v>
      </c>
      <c r="I139" s="226">
        <v>23208</v>
      </c>
      <c r="J139" s="226">
        <v>21292</v>
      </c>
      <c r="K139" s="226">
        <v>1</v>
      </c>
      <c r="L139" s="215" t="s">
        <v>951</v>
      </c>
      <c r="M139" s="215" t="s">
        <v>952</v>
      </c>
    </row>
    <row r="140" spans="1:13" ht="219" thickBot="1" x14ac:dyDescent="0.35">
      <c r="A140" s="215"/>
      <c r="B140" s="224">
        <v>42008</v>
      </c>
      <c r="C140" s="226">
        <v>6053</v>
      </c>
      <c r="D140" s="226">
        <v>7290</v>
      </c>
      <c r="E140" s="226">
        <v>6</v>
      </c>
      <c r="F140" s="225"/>
      <c r="G140" s="215" t="s">
        <v>813</v>
      </c>
      <c r="H140" s="226">
        <v>36315</v>
      </c>
      <c r="I140" s="226">
        <v>43739</v>
      </c>
      <c r="J140" s="226">
        <v>42328</v>
      </c>
      <c r="K140" s="226">
        <v>1</v>
      </c>
      <c r="L140" s="215" t="s">
        <v>953</v>
      </c>
      <c r="M140" s="215" t="s">
        <v>954</v>
      </c>
    </row>
    <row r="141" spans="1:13" ht="16.2" thickBot="1" x14ac:dyDescent="0.35">
      <c r="A141" s="215"/>
      <c r="B141" s="224">
        <v>42011</v>
      </c>
      <c r="C141" s="226">
        <v>8</v>
      </c>
      <c r="D141" s="226">
        <v>8</v>
      </c>
      <c r="E141" s="226">
        <v>1</v>
      </c>
      <c r="F141" s="225"/>
      <c r="G141" s="215" t="s">
        <v>813</v>
      </c>
      <c r="H141" s="226">
        <v>8</v>
      </c>
      <c r="I141" s="226">
        <v>8</v>
      </c>
      <c r="J141" s="226">
        <v>5</v>
      </c>
      <c r="K141" s="226">
        <v>0</v>
      </c>
      <c r="L141" s="215" t="s">
        <v>955</v>
      </c>
      <c r="M141" s="215">
        <v>6059042333</v>
      </c>
    </row>
    <row r="142" spans="1:13" ht="16.2" thickBot="1" x14ac:dyDescent="0.35">
      <c r="A142" s="215"/>
      <c r="B142" s="224">
        <v>42012</v>
      </c>
      <c r="C142" s="226">
        <v>227</v>
      </c>
      <c r="D142" s="226">
        <v>227</v>
      </c>
      <c r="E142" s="226">
        <v>1</v>
      </c>
      <c r="F142" s="225"/>
      <c r="G142" s="215" t="s">
        <v>813</v>
      </c>
      <c r="H142" s="226">
        <v>227</v>
      </c>
      <c r="I142" s="226">
        <v>227</v>
      </c>
      <c r="J142" s="226">
        <v>194</v>
      </c>
      <c r="K142" s="226">
        <v>0</v>
      </c>
      <c r="L142" s="215" t="s">
        <v>955</v>
      </c>
      <c r="M142" s="215">
        <v>6059042201</v>
      </c>
    </row>
    <row r="143" spans="1:13" ht="16.2" thickBot="1" x14ac:dyDescent="0.35">
      <c r="A143" s="215"/>
      <c r="B143" s="224">
        <v>42016</v>
      </c>
      <c r="C143" s="226">
        <v>665</v>
      </c>
      <c r="D143" s="226">
        <v>665</v>
      </c>
      <c r="E143" s="226">
        <v>1</v>
      </c>
      <c r="F143" s="225"/>
      <c r="G143" s="215" t="s">
        <v>813</v>
      </c>
      <c r="H143" s="226">
        <v>665</v>
      </c>
      <c r="I143" s="226">
        <v>665</v>
      </c>
      <c r="J143" s="226">
        <v>663</v>
      </c>
      <c r="K143" s="226">
        <v>0</v>
      </c>
      <c r="L143" s="215" t="s">
        <v>955</v>
      </c>
      <c r="M143" s="215">
        <v>6059032029</v>
      </c>
    </row>
    <row r="144" spans="1:13" ht="16.2" thickBot="1" x14ac:dyDescent="0.35">
      <c r="A144" s="215"/>
      <c r="B144" s="224">
        <v>42019</v>
      </c>
      <c r="C144" s="226">
        <v>2</v>
      </c>
      <c r="D144" s="226">
        <v>2</v>
      </c>
      <c r="E144" s="226">
        <v>1</v>
      </c>
      <c r="F144" s="225"/>
      <c r="G144" s="215" t="s">
        <v>813</v>
      </c>
      <c r="H144" s="226">
        <v>2</v>
      </c>
      <c r="I144" s="226">
        <v>2</v>
      </c>
      <c r="J144" s="226">
        <v>1</v>
      </c>
      <c r="K144" s="226">
        <v>1</v>
      </c>
      <c r="L144" s="215" t="s">
        <v>951</v>
      </c>
      <c r="M144" s="215">
        <v>6059063603</v>
      </c>
    </row>
    <row r="145" spans="1:13" ht="78.599999999999994" thickBot="1" x14ac:dyDescent="0.35">
      <c r="A145" s="215"/>
      <c r="B145" s="224">
        <v>42020</v>
      </c>
      <c r="C145" s="226">
        <v>5429</v>
      </c>
      <c r="D145" s="226">
        <v>5456</v>
      </c>
      <c r="E145" s="226">
        <v>2</v>
      </c>
      <c r="F145" s="225"/>
      <c r="G145" s="215" t="s">
        <v>813</v>
      </c>
      <c r="H145" s="226">
        <v>10858</v>
      </c>
      <c r="I145" s="226">
        <v>10911</v>
      </c>
      <c r="J145" s="226">
        <v>9597</v>
      </c>
      <c r="K145" s="226">
        <v>0</v>
      </c>
      <c r="L145" s="215" t="s">
        <v>955</v>
      </c>
      <c r="M145" s="215" t="s">
        <v>956</v>
      </c>
    </row>
    <row r="146" spans="1:13" ht="409.6" thickBot="1" x14ac:dyDescent="0.35">
      <c r="A146" s="215"/>
      <c r="B146" s="224">
        <v>42021</v>
      </c>
      <c r="C146" s="226">
        <v>6805</v>
      </c>
      <c r="D146" s="226">
        <v>7594</v>
      </c>
      <c r="E146" s="226">
        <v>34</v>
      </c>
      <c r="F146" s="225" t="s">
        <v>957</v>
      </c>
      <c r="G146" s="215" t="s">
        <v>813</v>
      </c>
      <c r="H146" s="226">
        <v>231366</v>
      </c>
      <c r="I146" s="226">
        <v>258204</v>
      </c>
      <c r="J146" s="226">
        <v>247671</v>
      </c>
      <c r="K146" s="226">
        <v>22</v>
      </c>
      <c r="L146" s="215" t="s">
        <v>958</v>
      </c>
      <c r="M146" s="215" t="s">
        <v>959</v>
      </c>
    </row>
    <row r="147" spans="1:13" ht="16.2" thickBot="1" x14ac:dyDescent="0.35">
      <c r="A147" s="215"/>
      <c r="B147" s="224">
        <v>42022</v>
      </c>
      <c r="C147" s="226">
        <v>106</v>
      </c>
      <c r="D147" s="226">
        <v>106</v>
      </c>
      <c r="E147" s="226">
        <v>1</v>
      </c>
      <c r="F147" s="225"/>
      <c r="G147" s="215" t="s">
        <v>813</v>
      </c>
      <c r="H147" s="226">
        <v>106</v>
      </c>
      <c r="I147" s="226">
        <v>106</v>
      </c>
      <c r="J147" s="226">
        <v>105</v>
      </c>
      <c r="K147" s="226">
        <v>0</v>
      </c>
      <c r="L147" s="215" t="s">
        <v>951</v>
      </c>
      <c r="M147" s="215">
        <v>6059075403</v>
      </c>
    </row>
    <row r="148" spans="1:13" ht="265.8" thickBot="1" x14ac:dyDescent="0.35">
      <c r="A148" s="215"/>
      <c r="B148" s="224">
        <v>42023</v>
      </c>
      <c r="C148" s="226">
        <v>3584</v>
      </c>
      <c r="D148" s="226">
        <v>4114</v>
      </c>
      <c r="E148" s="226">
        <v>5</v>
      </c>
      <c r="F148" s="225"/>
      <c r="G148" s="215" t="s">
        <v>813</v>
      </c>
      <c r="H148" s="226">
        <v>17922</v>
      </c>
      <c r="I148" s="226">
        <v>20570</v>
      </c>
      <c r="J148" s="226">
        <v>19969</v>
      </c>
      <c r="K148" s="226">
        <v>6</v>
      </c>
      <c r="L148" s="215" t="s">
        <v>958</v>
      </c>
      <c r="M148" s="215" t="s">
        <v>960</v>
      </c>
    </row>
    <row r="149" spans="1:13" ht="16.2" thickBot="1" x14ac:dyDescent="0.35">
      <c r="A149" s="215"/>
      <c r="B149" s="224">
        <v>42025</v>
      </c>
      <c r="C149" s="226">
        <v>735</v>
      </c>
      <c r="D149" s="226">
        <v>777</v>
      </c>
      <c r="E149" s="226">
        <v>1</v>
      </c>
      <c r="F149" s="225"/>
      <c r="G149" s="215" t="s">
        <v>813</v>
      </c>
      <c r="H149" s="226">
        <v>735</v>
      </c>
      <c r="I149" s="226">
        <v>777</v>
      </c>
      <c r="J149" s="226">
        <v>750</v>
      </c>
      <c r="K149" s="226">
        <v>0</v>
      </c>
      <c r="L149" s="215" t="s">
        <v>951</v>
      </c>
      <c r="M149" s="215">
        <v>6059062643</v>
      </c>
    </row>
    <row r="150" spans="1:13" ht="409.6" thickBot="1" x14ac:dyDescent="0.35">
      <c r="A150" s="215"/>
      <c r="B150" s="224">
        <v>42043</v>
      </c>
      <c r="C150" s="226">
        <v>9755</v>
      </c>
      <c r="D150" s="226">
        <v>10051</v>
      </c>
      <c r="E150" s="226">
        <v>15</v>
      </c>
      <c r="F150" s="225" t="s">
        <v>961</v>
      </c>
      <c r="G150" s="215" t="s">
        <v>813</v>
      </c>
      <c r="H150" s="226">
        <v>146320</v>
      </c>
      <c r="I150" s="226">
        <v>150762</v>
      </c>
      <c r="J150" s="226">
        <v>139830</v>
      </c>
      <c r="K150" s="226">
        <v>14</v>
      </c>
      <c r="L150" s="215" t="s">
        <v>962</v>
      </c>
      <c r="M150" s="215" t="s">
        <v>963</v>
      </c>
    </row>
    <row r="151" spans="1:13" ht="409.6" thickBot="1" x14ac:dyDescent="0.35">
      <c r="A151" s="215"/>
      <c r="B151" s="224">
        <v>42044</v>
      </c>
      <c r="C151" s="226">
        <v>5657</v>
      </c>
      <c r="D151" s="226">
        <v>5819</v>
      </c>
      <c r="E151" s="226">
        <v>33</v>
      </c>
      <c r="F151" s="225" t="s">
        <v>964</v>
      </c>
      <c r="G151" s="215" t="s">
        <v>813</v>
      </c>
      <c r="H151" s="226">
        <v>186677</v>
      </c>
      <c r="I151" s="226">
        <v>192016</v>
      </c>
      <c r="J151" s="226">
        <v>178369</v>
      </c>
      <c r="K151" s="226">
        <v>28</v>
      </c>
      <c r="L151" s="215" t="s">
        <v>965</v>
      </c>
      <c r="M151" s="215" t="s">
        <v>966</v>
      </c>
    </row>
    <row r="152" spans="1:13" ht="16.2" thickBot="1" x14ac:dyDescent="0.35">
      <c r="A152" s="215"/>
      <c r="B152" s="224">
        <v>42048</v>
      </c>
      <c r="C152" s="226">
        <v>67</v>
      </c>
      <c r="D152" s="226">
        <v>67</v>
      </c>
      <c r="E152" s="226">
        <v>1</v>
      </c>
      <c r="F152" s="225"/>
      <c r="G152" s="215" t="s">
        <v>813</v>
      </c>
      <c r="H152" s="226">
        <v>67</v>
      </c>
      <c r="I152" s="226">
        <v>67</v>
      </c>
      <c r="J152" s="226">
        <v>61</v>
      </c>
      <c r="K152" s="226">
        <v>0</v>
      </c>
      <c r="L152" s="215" t="s">
        <v>967</v>
      </c>
      <c r="M152" s="215">
        <v>6037500204</v>
      </c>
    </row>
    <row r="153" spans="1:13" ht="94.2" thickBot="1" x14ac:dyDescent="0.35">
      <c r="A153" s="215"/>
      <c r="B153" s="224">
        <v>42049</v>
      </c>
      <c r="C153" s="226">
        <v>712</v>
      </c>
      <c r="D153" s="226">
        <v>1059</v>
      </c>
      <c r="E153" s="226">
        <v>2</v>
      </c>
      <c r="F153" s="225"/>
      <c r="G153" s="215" t="s">
        <v>813</v>
      </c>
      <c r="H153" s="226">
        <v>1423</v>
      </c>
      <c r="I153" s="226">
        <v>2117</v>
      </c>
      <c r="J153" s="226">
        <v>1870</v>
      </c>
      <c r="K153" s="226">
        <v>2</v>
      </c>
      <c r="L153" s="215" t="s">
        <v>968</v>
      </c>
      <c r="M153" s="215" t="s">
        <v>969</v>
      </c>
    </row>
    <row r="154" spans="1:13" ht="16.2" thickBot="1" x14ac:dyDescent="0.35">
      <c r="A154" s="215"/>
      <c r="B154" s="224">
        <v>42050</v>
      </c>
      <c r="C154" s="226">
        <v>3</v>
      </c>
      <c r="D154" s="226">
        <v>3</v>
      </c>
      <c r="E154" s="226">
        <v>1</v>
      </c>
      <c r="F154" s="225"/>
      <c r="G154" s="215" t="s">
        <v>813</v>
      </c>
      <c r="H154" s="226">
        <v>3</v>
      </c>
      <c r="I154" s="226">
        <v>3</v>
      </c>
      <c r="J154" s="226">
        <v>3</v>
      </c>
      <c r="K154" s="226">
        <v>0</v>
      </c>
      <c r="L154" s="215" t="s">
        <v>951</v>
      </c>
      <c r="M154" s="215">
        <v>6059074003</v>
      </c>
    </row>
    <row r="155" spans="1:13" ht="16.2" thickBot="1" x14ac:dyDescent="0.35">
      <c r="A155" s="215"/>
      <c r="B155" s="224">
        <v>42051</v>
      </c>
      <c r="C155" s="226">
        <v>2</v>
      </c>
      <c r="D155" s="226">
        <v>2</v>
      </c>
      <c r="E155" s="226">
        <v>1</v>
      </c>
      <c r="F155" s="225"/>
      <c r="G155" s="215" t="s">
        <v>813</v>
      </c>
      <c r="H155" s="226">
        <v>2</v>
      </c>
      <c r="I155" s="226">
        <v>2</v>
      </c>
      <c r="J155" s="226">
        <v>2</v>
      </c>
      <c r="K155" s="226">
        <v>0</v>
      </c>
      <c r="L155" s="215" t="s">
        <v>946</v>
      </c>
      <c r="M155" s="215">
        <v>6059099509</v>
      </c>
    </row>
    <row r="156" spans="1:13" ht="409.6" thickBot="1" x14ac:dyDescent="0.35">
      <c r="A156" s="215"/>
      <c r="B156" s="224">
        <v>43001</v>
      </c>
      <c r="C156" s="226">
        <v>6119</v>
      </c>
      <c r="D156" s="226">
        <v>6222</v>
      </c>
      <c r="E156" s="226">
        <v>47</v>
      </c>
      <c r="F156" s="225"/>
      <c r="G156" s="215" t="s">
        <v>813</v>
      </c>
      <c r="H156" s="226">
        <v>287611</v>
      </c>
      <c r="I156" s="226">
        <v>292446</v>
      </c>
      <c r="J156" s="226">
        <v>253835</v>
      </c>
      <c r="K156" s="226">
        <v>14</v>
      </c>
      <c r="L156" s="215" t="s">
        <v>970</v>
      </c>
      <c r="M156" s="215" t="s">
        <v>971</v>
      </c>
    </row>
    <row r="157" spans="1:13" ht="63" thickBot="1" x14ac:dyDescent="0.35">
      <c r="A157" s="215"/>
      <c r="B157" s="224">
        <v>43003</v>
      </c>
      <c r="C157" s="226">
        <v>86</v>
      </c>
      <c r="D157" s="226">
        <v>88</v>
      </c>
      <c r="E157" s="226">
        <v>1</v>
      </c>
      <c r="F157" s="225"/>
      <c r="G157" s="215" t="s">
        <v>813</v>
      </c>
      <c r="H157" s="226">
        <v>86</v>
      </c>
      <c r="I157" s="226">
        <v>88</v>
      </c>
      <c r="J157" s="226">
        <v>67</v>
      </c>
      <c r="K157" s="226">
        <v>0</v>
      </c>
      <c r="L157" s="215" t="s">
        <v>972</v>
      </c>
      <c r="M157" s="215" t="s">
        <v>973</v>
      </c>
    </row>
    <row r="158" spans="1:13" ht="409.6" thickBot="1" x14ac:dyDescent="0.35">
      <c r="A158" s="215"/>
      <c r="B158" s="224">
        <v>43012</v>
      </c>
      <c r="C158" s="226">
        <v>7163</v>
      </c>
      <c r="D158" s="226">
        <v>7290</v>
      </c>
      <c r="E158" s="226">
        <v>5</v>
      </c>
      <c r="F158" s="225"/>
      <c r="G158" s="215" t="s">
        <v>813</v>
      </c>
      <c r="H158" s="226">
        <v>35814</v>
      </c>
      <c r="I158" s="226">
        <v>36449</v>
      </c>
      <c r="J158" s="226">
        <v>31686</v>
      </c>
      <c r="K158" s="226">
        <v>2</v>
      </c>
      <c r="L158" s="215" t="s">
        <v>974</v>
      </c>
      <c r="M158" s="215" t="s">
        <v>975</v>
      </c>
    </row>
    <row r="159" spans="1:13" ht="409.6" thickBot="1" x14ac:dyDescent="0.35">
      <c r="A159" s="215"/>
      <c r="B159" s="224">
        <v>43013</v>
      </c>
      <c r="C159" s="226">
        <v>3496</v>
      </c>
      <c r="D159" s="226">
        <v>3572</v>
      </c>
      <c r="E159" s="226">
        <v>5</v>
      </c>
      <c r="F159" s="225"/>
      <c r="G159" s="215" t="s">
        <v>813</v>
      </c>
      <c r="H159" s="226">
        <v>17478</v>
      </c>
      <c r="I159" s="226">
        <v>17859</v>
      </c>
      <c r="J159" s="226">
        <v>15406</v>
      </c>
      <c r="K159" s="226">
        <v>1</v>
      </c>
      <c r="L159" s="215" t="s">
        <v>976</v>
      </c>
      <c r="M159" s="215" t="s">
        <v>977</v>
      </c>
    </row>
    <row r="160" spans="1:13" ht="78.599999999999994" thickBot="1" x14ac:dyDescent="0.35">
      <c r="A160" s="215"/>
      <c r="B160" s="224">
        <v>43016</v>
      </c>
      <c r="C160" s="226">
        <v>4073</v>
      </c>
      <c r="D160" s="226">
        <v>4470</v>
      </c>
      <c r="E160" s="226">
        <v>1</v>
      </c>
      <c r="F160" s="225"/>
      <c r="G160" s="215" t="s">
        <v>813</v>
      </c>
      <c r="H160" s="226">
        <v>4073</v>
      </c>
      <c r="I160" s="226">
        <v>4470</v>
      </c>
      <c r="J160" s="226">
        <v>3822</v>
      </c>
      <c r="K160" s="226">
        <v>2</v>
      </c>
      <c r="L160" s="215" t="s">
        <v>978</v>
      </c>
      <c r="M160" s="215" t="s">
        <v>979</v>
      </c>
    </row>
    <row r="161" spans="1:13" ht="16.2" thickBot="1" x14ac:dyDescent="0.35">
      <c r="A161" s="215"/>
      <c r="B161" s="224">
        <v>43017</v>
      </c>
      <c r="C161" s="226">
        <v>72</v>
      </c>
      <c r="D161" s="226">
        <v>72</v>
      </c>
      <c r="E161" s="226">
        <v>1</v>
      </c>
      <c r="F161" s="225"/>
      <c r="G161" s="215" t="s">
        <v>813</v>
      </c>
      <c r="H161" s="226">
        <v>72</v>
      </c>
      <c r="I161" s="226">
        <v>72</v>
      </c>
      <c r="J161" s="226">
        <v>31</v>
      </c>
      <c r="K161" s="226">
        <v>0</v>
      </c>
      <c r="L161" s="215" t="s">
        <v>978</v>
      </c>
      <c r="M161" s="215">
        <v>6037800504</v>
      </c>
    </row>
    <row r="162" spans="1:13" ht="16.2" thickBot="1" x14ac:dyDescent="0.35">
      <c r="A162" s="215"/>
      <c r="B162" s="224">
        <v>43018</v>
      </c>
      <c r="C162" s="226">
        <v>106</v>
      </c>
      <c r="D162" s="226">
        <v>106</v>
      </c>
      <c r="E162" s="226">
        <v>1</v>
      </c>
      <c r="F162" s="225"/>
      <c r="G162" s="215" t="s">
        <v>813</v>
      </c>
      <c r="H162" s="226">
        <v>106</v>
      </c>
      <c r="I162" s="226">
        <v>106</v>
      </c>
      <c r="J162" s="226">
        <v>88</v>
      </c>
      <c r="K162" s="226">
        <v>0</v>
      </c>
      <c r="L162" s="215" t="s">
        <v>978</v>
      </c>
      <c r="M162" s="215">
        <v>6037800504</v>
      </c>
    </row>
    <row r="163" spans="1:13" ht="16.2" thickBot="1" x14ac:dyDescent="0.35">
      <c r="A163" s="215"/>
      <c r="B163" s="224">
        <v>43019</v>
      </c>
      <c r="C163" s="226">
        <v>2</v>
      </c>
      <c r="D163" s="226">
        <v>2</v>
      </c>
      <c r="E163" s="226">
        <v>1</v>
      </c>
      <c r="F163" s="225"/>
      <c r="G163" s="215" t="s">
        <v>813</v>
      </c>
      <c r="H163" s="226">
        <v>2</v>
      </c>
      <c r="I163" s="226">
        <v>2</v>
      </c>
      <c r="J163" s="226">
        <v>2</v>
      </c>
      <c r="K163" s="226">
        <v>0</v>
      </c>
      <c r="L163" s="215" t="s">
        <v>978</v>
      </c>
      <c r="M163" s="215">
        <v>6037800504</v>
      </c>
    </row>
    <row r="164" spans="1:13" ht="16.2" thickBot="1" x14ac:dyDescent="0.35">
      <c r="A164" s="215"/>
      <c r="B164" s="224">
        <v>43020</v>
      </c>
      <c r="C164" s="226">
        <v>147</v>
      </c>
      <c r="D164" s="226">
        <v>147</v>
      </c>
      <c r="E164" s="226">
        <v>1</v>
      </c>
      <c r="F164" s="225"/>
      <c r="G164" s="215" t="s">
        <v>813</v>
      </c>
      <c r="H164" s="226">
        <v>147</v>
      </c>
      <c r="I164" s="226">
        <v>147</v>
      </c>
      <c r="J164" s="226">
        <v>95</v>
      </c>
      <c r="K164" s="226">
        <v>0</v>
      </c>
      <c r="L164" s="215" t="s">
        <v>978</v>
      </c>
      <c r="M164" s="215">
        <v>6037800504</v>
      </c>
    </row>
    <row r="165" spans="1:13" ht="16.2" thickBot="1" x14ac:dyDescent="0.35">
      <c r="A165" s="215"/>
      <c r="B165" s="224">
        <v>43021</v>
      </c>
      <c r="C165" s="226">
        <v>24</v>
      </c>
      <c r="D165" s="226">
        <v>24</v>
      </c>
      <c r="E165" s="226">
        <v>1</v>
      </c>
      <c r="F165" s="225"/>
      <c r="G165" s="215" t="s">
        <v>813</v>
      </c>
      <c r="H165" s="226">
        <v>24</v>
      </c>
      <c r="I165" s="226">
        <v>24</v>
      </c>
      <c r="J165" s="226">
        <v>20</v>
      </c>
      <c r="K165" s="226">
        <v>0</v>
      </c>
      <c r="L165" s="215" t="s">
        <v>978</v>
      </c>
      <c r="M165" s="215">
        <v>6037800504</v>
      </c>
    </row>
    <row r="166" spans="1:13" ht="16.2" thickBot="1" x14ac:dyDescent="0.35">
      <c r="A166" s="215"/>
      <c r="B166" s="224">
        <v>43022</v>
      </c>
      <c r="C166" s="226">
        <v>3</v>
      </c>
      <c r="D166" s="226">
        <v>3</v>
      </c>
      <c r="E166" s="226">
        <v>1</v>
      </c>
      <c r="F166" s="225"/>
      <c r="G166" s="215" t="s">
        <v>813</v>
      </c>
      <c r="H166" s="226">
        <v>3</v>
      </c>
      <c r="I166" s="226">
        <v>3</v>
      </c>
      <c r="J166" s="226">
        <v>2</v>
      </c>
      <c r="K166" s="226">
        <v>0</v>
      </c>
      <c r="L166" s="215" t="s">
        <v>978</v>
      </c>
      <c r="M166" s="215">
        <v>6037800504</v>
      </c>
    </row>
    <row r="167" spans="1:13" ht="16.2" thickBot="1" x14ac:dyDescent="0.35">
      <c r="A167" s="215"/>
      <c r="B167" s="224">
        <v>43024</v>
      </c>
      <c r="C167" s="226">
        <v>14</v>
      </c>
      <c r="D167" s="226">
        <v>14</v>
      </c>
      <c r="E167" s="226">
        <v>1</v>
      </c>
      <c r="F167" s="225"/>
      <c r="G167" s="215" t="s">
        <v>813</v>
      </c>
      <c r="H167" s="226">
        <v>14</v>
      </c>
      <c r="I167" s="226">
        <v>14</v>
      </c>
      <c r="J167" s="226">
        <v>10</v>
      </c>
      <c r="K167" s="226">
        <v>0</v>
      </c>
      <c r="L167" s="215" t="s">
        <v>978</v>
      </c>
      <c r="M167" s="215">
        <v>6037800504</v>
      </c>
    </row>
    <row r="168" spans="1:13" ht="16.2" thickBot="1" x14ac:dyDescent="0.35">
      <c r="A168" s="215"/>
      <c r="B168" s="224">
        <v>43025</v>
      </c>
      <c r="C168" s="226">
        <v>3</v>
      </c>
      <c r="D168" s="226">
        <v>3</v>
      </c>
      <c r="E168" s="226">
        <v>1</v>
      </c>
      <c r="F168" s="225"/>
      <c r="G168" s="215" t="s">
        <v>813</v>
      </c>
      <c r="H168" s="226">
        <v>3</v>
      </c>
      <c r="I168" s="226">
        <v>3</v>
      </c>
      <c r="J168" s="226">
        <v>2</v>
      </c>
      <c r="K168" s="226">
        <v>0</v>
      </c>
      <c r="L168" s="215" t="s">
        <v>978</v>
      </c>
      <c r="M168" s="215">
        <v>6037800504</v>
      </c>
    </row>
    <row r="169" spans="1:13" ht="16.2" thickBot="1" x14ac:dyDescent="0.35">
      <c r="A169" s="215"/>
      <c r="B169" s="224">
        <v>43026</v>
      </c>
      <c r="C169" s="226">
        <v>10</v>
      </c>
      <c r="D169" s="226">
        <v>10</v>
      </c>
      <c r="E169" s="226">
        <v>1</v>
      </c>
      <c r="F169" s="225"/>
      <c r="G169" s="215" t="s">
        <v>813</v>
      </c>
      <c r="H169" s="226">
        <v>10</v>
      </c>
      <c r="I169" s="226">
        <v>10</v>
      </c>
      <c r="J169" s="226">
        <v>6</v>
      </c>
      <c r="K169" s="226">
        <v>0</v>
      </c>
      <c r="L169" s="215" t="s">
        <v>978</v>
      </c>
      <c r="M169" s="215">
        <v>6037800504</v>
      </c>
    </row>
    <row r="170" spans="1:13" ht="16.2" thickBot="1" x14ac:dyDescent="0.35">
      <c r="A170" s="215"/>
      <c r="B170" s="224">
        <v>43027</v>
      </c>
      <c r="C170" s="226">
        <v>11</v>
      </c>
      <c r="D170" s="226">
        <v>11</v>
      </c>
      <c r="E170" s="226">
        <v>1</v>
      </c>
      <c r="F170" s="225"/>
      <c r="G170" s="215" t="s">
        <v>813</v>
      </c>
      <c r="H170" s="226">
        <v>11</v>
      </c>
      <c r="I170" s="226">
        <v>11</v>
      </c>
      <c r="J170" s="226">
        <v>8</v>
      </c>
      <c r="K170" s="226">
        <v>0</v>
      </c>
      <c r="L170" s="215" t="s">
        <v>978</v>
      </c>
      <c r="M170" s="215">
        <v>6037800504</v>
      </c>
    </row>
    <row r="171" spans="1:13" ht="16.2" thickBot="1" x14ac:dyDescent="0.35">
      <c r="A171" s="215"/>
      <c r="B171" s="224">
        <v>43028</v>
      </c>
      <c r="C171" s="226">
        <v>5</v>
      </c>
      <c r="D171" s="226">
        <v>5</v>
      </c>
      <c r="E171" s="226">
        <v>1</v>
      </c>
      <c r="F171" s="225"/>
      <c r="G171" s="215" t="s">
        <v>813</v>
      </c>
      <c r="H171" s="226">
        <v>5</v>
      </c>
      <c r="I171" s="226">
        <v>5</v>
      </c>
      <c r="J171" s="226">
        <v>3</v>
      </c>
      <c r="K171" s="226">
        <v>0</v>
      </c>
      <c r="L171" s="215" t="s">
        <v>978</v>
      </c>
      <c r="M171" s="215">
        <v>6037800504</v>
      </c>
    </row>
    <row r="172" spans="1:13" ht="16.2" thickBot="1" x14ac:dyDescent="0.35">
      <c r="A172" s="215"/>
      <c r="B172" s="224">
        <v>43029</v>
      </c>
      <c r="C172" s="226">
        <v>14</v>
      </c>
      <c r="D172" s="226">
        <v>14</v>
      </c>
      <c r="E172" s="226">
        <v>1</v>
      </c>
      <c r="F172" s="225"/>
      <c r="G172" s="215" t="s">
        <v>813</v>
      </c>
      <c r="H172" s="226">
        <v>14</v>
      </c>
      <c r="I172" s="226">
        <v>14</v>
      </c>
      <c r="J172" s="226">
        <v>7</v>
      </c>
      <c r="K172" s="226">
        <v>0</v>
      </c>
      <c r="L172" s="215" t="s">
        <v>978</v>
      </c>
      <c r="M172" s="215">
        <v>6037800504</v>
      </c>
    </row>
    <row r="173" spans="1:13" ht="16.2" thickBot="1" x14ac:dyDescent="0.35">
      <c r="A173" s="215"/>
      <c r="B173" s="224">
        <v>43030</v>
      </c>
      <c r="C173" s="226">
        <v>26</v>
      </c>
      <c r="D173" s="226">
        <v>26</v>
      </c>
      <c r="E173" s="226">
        <v>1</v>
      </c>
      <c r="F173" s="225"/>
      <c r="G173" s="215" t="s">
        <v>813</v>
      </c>
      <c r="H173" s="226">
        <v>26</v>
      </c>
      <c r="I173" s="226">
        <v>26</v>
      </c>
      <c r="J173" s="226">
        <v>13</v>
      </c>
      <c r="K173" s="226">
        <v>0</v>
      </c>
      <c r="L173" s="215" t="s">
        <v>978</v>
      </c>
      <c r="M173" s="215">
        <v>6037800504</v>
      </c>
    </row>
    <row r="174" spans="1:13" ht="16.2" thickBot="1" x14ac:dyDescent="0.35">
      <c r="A174" s="215"/>
      <c r="B174" s="224">
        <v>43031</v>
      </c>
      <c r="C174" s="226">
        <v>5</v>
      </c>
      <c r="D174" s="226">
        <v>5</v>
      </c>
      <c r="E174" s="226">
        <v>1</v>
      </c>
      <c r="F174" s="225" t="s">
        <v>980</v>
      </c>
      <c r="G174" s="215" t="s">
        <v>813</v>
      </c>
      <c r="H174" s="226">
        <v>5</v>
      </c>
      <c r="I174" s="226">
        <v>5</v>
      </c>
      <c r="J174" s="226">
        <v>4</v>
      </c>
      <c r="K174" s="226">
        <v>0</v>
      </c>
      <c r="L174" s="215" t="s">
        <v>978</v>
      </c>
      <c r="M174" s="215">
        <v>6037800504</v>
      </c>
    </row>
    <row r="175" spans="1:13" ht="16.2" thickBot="1" x14ac:dyDescent="0.35">
      <c r="A175" s="215"/>
      <c r="B175" s="224">
        <v>43032</v>
      </c>
      <c r="C175" s="226">
        <v>7</v>
      </c>
      <c r="D175" s="226">
        <v>7</v>
      </c>
      <c r="E175" s="226">
        <v>1</v>
      </c>
      <c r="F175" s="225"/>
      <c r="G175" s="215" t="s">
        <v>813</v>
      </c>
      <c r="H175" s="226">
        <v>7</v>
      </c>
      <c r="I175" s="226">
        <v>7</v>
      </c>
      <c r="J175" s="226">
        <v>3</v>
      </c>
      <c r="K175" s="226">
        <v>0</v>
      </c>
      <c r="L175" s="215" t="s">
        <v>978</v>
      </c>
      <c r="M175" s="215">
        <v>6037800504</v>
      </c>
    </row>
    <row r="176" spans="1:13" ht="16.2" thickBot="1" x14ac:dyDescent="0.35">
      <c r="A176" s="215"/>
      <c r="B176" s="224">
        <v>43034</v>
      </c>
      <c r="C176" s="226">
        <v>38</v>
      </c>
      <c r="D176" s="226">
        <v>43</v>
      </c>
      <c r="E176" s="226">
        <v>1</v>
      </c>
      <c r="F176" s="225"/>
      <c r="G176" s="215" t="s">
        <v>813</v>
      </c>
      <c r="H176" s="226">
        <v>38</v>
      </c>
      <c r="I176" s="226">
        <v>43</v>
      </c>
      <c r="J176" s="226">
        <v>22</v>
      </c>
      <c r="K176" s="226">
        <v>0</v>
      </c>
      <c r="L176" s="215" t="s">
        <v>978</v>
      </c>
      <c r="M176" s="215">
        <v>6037800504</v>
      </c>
    </row>
    <row r="177" spans="1:13" ht="16.2" thickBot="1" x14ac:dyDescent="0.35">
      <c r="A177" s="215"/>
      <c r="B177" s="224">
        <v>43036</v>
      </c>
      <c r="C177" s="226">
        <v>122</v>
      </c>
      <c r="D177" s="226">
        <v>141</v>
      </c>
      <c r="E177" s="226">
        <v>1</v>
      </c>
      <c r="F177" s="225"/>
      <c r="G177" s="215" t="s">
        <v>813</v>
      </c>
      <c r="H177" s="226">
        <v>122</v>
      </c>
      <c r="I177" s="226">
        <v>141</v>
      </c>
      <c r="J177" s="226">
        <v>51</v>
      </c>
      <c r="K177" s="226">
        <v>0</v>
      </c>
      <c r="L177" s="215" t="s">
        <v>978</v>
      </c>
      <c r="M177" s="215">
        <v>6037800504</v>
      </c>
    </row>
    <row r="178" spans="1:13" ht="31.8" thickBot="1" x14ac:dyDescent="0.35">
      <c r="A178" s="215"/>
      <c r="B178" s="224">
        <v>43037</v>
      </c>
      <c r="C178" s="226">
        <v>98</v>
      </c>
      <c r="D178" s="226">
        <v>110</v>
      </c>
      <c r="E178" s="226">
        <v>1</v>
      </c>
      <c r="F178" s="225"/>
      <c r="G178" s="215" t="s">
        <v>813</v>
      </c>
      <c r="H178" s="226">
        <v>98</v>
      </c>
      <c r="I178" s="226">
        <v>110</v>
      </c>
      <c r="J178" s="226">
        <v>55</v>
      </c>
      <c r="K178" s="226">
        <v>0</v>
      </c>
      <c r="L178" s="215" t="s">
        <v>978</v>
      </c>
      <c r="M178" s="215" t="s">
        <v>981</v>
      </c>
    </row>
    <row r="179" spans="1:13" ht="16.2" thickBot="1" x14ac:dyDescent="0.35">
      <c r="A179" s="215"/>
      <c r="B179" s="224">
        <v>43038</v>
      </c>
      <c r="C179" s="226">
        <v>5</v>
      </c>
      <c r="D179" s="226">
        <v>11</v>
      </c>
      <c r="E179" s="226">
        <v>1</v>
      </c>
      <c r="F179" s="225"/>
      <c r="G179" s="215" t="s">
        <v>813</v>
      </c>
      <c r="H179" s="226">
        <v>5</v>
      </c>
      <c r="I179" s="226">
        <v>11</v>
      </c>
      <c r="J179" s="226">
        <v>7</v>
      </c>
      <c r="K179" s="226">
        <v>0</v>
      </c>
      <c r="L179" s="215" t="s">
        <v>978</v>
      </c>
      <c r="M179" s="215">
        <v>6037800504</v>
      </c>
    </row>
    <row r="180" spans="1:13" ht="16.2" thickBot="1" x14ac:dyDescent="0.35">
      <c r="A180" s="215"/>
      <c r="B180" s="224">
        <v>43039</v>
      </c>
      <c r="C180" s="226">
        <v>2</v>
      </c>
      <c r="D180" s="226">
        <v>2</v>
      </c>
      <c r="E180" s="226">
        <v>1</v>
      </c>
      <c r="F180" s="225"/>
      <c r="G180" s="215" t="s">
        <v>813</v>
      </c>
      <c r="H180" s="226">
        <v>2</v>
      </c>
      <c r="I180" s="226">
        <v>2</v>
      </c>
      <c r="J180" s="226">
        <v>1</v>
      </c>
      <c r="K180" s="226">
        <v>0</v>
      </c>
      <c r="L180" s="215" t="s">
        <v>978</v>
      </c>
      <c r="M180" s="215">
        <v>6037800506</v>
      </c>
    </row>
    <row r="181" spans="1:13" ht="16.2" thickBot="1" x14ac:dyDescent="0.35">
      <c r="A181" s="215"/>
      <c r="B181" s="224">
        <v>43040</v>
      </c>
      <c r="C181" s="226">
        <v>13</v>
      </c>
      <c r="D181" s="226">
        <v>13</v>
      </c>
      <c r="E181" s="226">
        <v>1</v>
      </c>
      <c r="F181" s="225"/>
      <c r="G181" s="215" t="s">
        <v>813</v>
      </c>
      <c r="H181" s="226">
        <v>13</v>
      </c>
      <c r="I181" s="226">
        <v>13</v>
      </c>
      <c r="J181" s="226">
        <v>0</v>
      </c>
      <c r="K181" s="226">
        <v>0</v>
      </c>
      <c r="L181" s="215" t="s">
        <v>978</v>
      </c>
      <c r="M181" s="215">
        <v>6037800506</v>
      </c>
    </row>
    <row r="182" spans="1:13" ht="16.2" thickBot="1" x14ac:dyDescent="0.35">
      <c r="A182" s="215"/>
      <c r="B182" s="224">
        <v>43041</v>
      </c>
      <c r="C182" s="226">
        <v>115</v>
      </c>
      <c r="D182" s="226">
        <v>133</v>
      </c>
      <c r="E182" s="226">
        <v>1</v>
      </c>
      <c r="F182" s="225" t="s">
        <v>982</v>
      </c>
      <c r="G182" s="215" t="s">
        <v>813</v>
      </c>
      <c r="H182" s="226">
        <v>115</v>
      </c>
      <c r="I182" s="226">
        <v>133</v>
      </c>
      <c r="J182" s="226">
        <v>47</v>
      </c>
      <c r="K182" s="226">
        <v>0</v>
      </c>
      <c r="L182" s="215" t="s">
        <v>978</v>
      </c>
      <c r="M182" s="215">
        <v>6037800506</v>
      </c>
    </row>
    <row r="183" spans="1:13" ht="16.2" thickBot="1" x14ac:dyDescent="0.35">
      <c r="A183" s="215"/>
      <c r="B183" s="224">
        <v>43042</v>
      </c>
      <c r="C183" s="226">
        <v>6</v>
      </c>
      <c r="D183" s="226">
        <v>6</v>
      </c>
      <c r="E183" s="226">
        <v>1</v>
      </c>
      <c r="F183" s="225"/>
      <c r="G183" s="215" t="s">
        <v>813</v>
      </c>
      <c r="H183" s="226">
        <v>6</v>
      </c>
      <c r="I183" s="226">
        <v>6</v>
      </c>
      <c r="J183" s="226">
        <v>0</v>
      </c>
      <c r="K183" s="226">
        <v>0</v>
      </c>
      <c r="L183" s="215" t="s">
        <v>978</v>
      </c>
      <c r="M183" s="215">
        <v>6037800506</v>
      </c>
    </row>
    <row r="184" spans="1:13" ht="31.8" thickBot="1" x14ac:dyDescent="0.35">
      <c r="A184" s="215"/>
      <c r="B184" s="224">
        <v>43044</v>
      </c>
      <c r="C184" s="226">
        <v>319</v>
      </c>
      <c r="D184" s="226">
        <v>319</v>
      </c>
      <c r="E184" s="226">
        <v>1</v>
      </c>
      <c r="F184" s="225"/>
      <c r="G184" s="215" t="s">
        <v>813</v>
      </c>
      <c r="H184" s="226">
        <v>319</v>
      </c>
      <c r="I184" s="226">
        <v>319</v>
      </c>
      <c r="J184" s="226">
        <v>150</v>
      </c>
      <c r="K184" s="226">
        <v>0</v>
      </c>
      <c r="L184" s="215" t="s">
        <v>978</v>
      </c>
      <c r="M184" s="215" t="s">
        <v>983</v>
      </c>
    </row>
    <row r="185" spans="1:13" ht="47.4" thickBot="1" x14ac:dyDescent="0.35">
      <c r="A185" s="215"/>
      <c r="B185" s="224">
        <v>43045</v>
      </c>
      <c r="C185" s="226">
        <v>386</v>
      </c>
      <c r="D185" s="226">
        <v>387</v>
      </c>
      <c r="E185" s="226">
        <v>1</v>
      </c>
      <c r="F185" s="225"/>
      <c r="G185" s="215" t="s">
        <v>813</v>
      </c>
      <c r="H185" s="226">
        <v>386</v>
      </c>
      <c r="I185" s="226">
        <v>387</v>
      </c>
      <c r="J185" s="226">
        <v>209</v>
      </c>
      <c r="K185" s="226">
        <v>0</v>
      </c>
      <c r="L185" s="215" t="s">
        <v>978</v>
      </c>
      <c r="M185" s="215" t="s">
        <v>984</v>
      </c>
    </row>
    <row r="186" spans="1:13" ht="47.4" thickBot="1" x14ac:dyDescent="0.35">
      <c r="A186" s="215"/>
      <c r="B186" s="224">
        <v>43046</v>
      </c>
      <c r="C186" s="226">
        <v>1377</v>
      </c>
      <c r="D186" s="226">
        <v>1457</v>
      </c>
      <c r="E186" s="226">
        <v>1</v>
      </c>
      <c r="F186" s="225"/>
      <c r="G186" s="215" t="s">
        <v>813</v>
      </c>
      <c r="H186" s="226">
        <v>1377</v>
      </c>
      <c r="I186" s="226">
        <v>1457</v>
      </c>
      <c r="J186" s="226">
        <v>915</v>
      </c>
      <c r="K186" s="226">
        <v>0</v>
      </c>
      <c r="L186" s="215" t="s">
        <v>978</v>
      </c>
      <c r="M186" s="215" t="s">
        <v>985</v>
      </c>
    </row>
    <row r="187" spans="1:13" ht="31.8" thickBot="1" x14ac:dyDescent="0.35">
      <c r="A187" s="215"/>
      <c r="B187" s="224">
        <v>43047</v>
      </c>
      <c r="C187" s="226">
        <v>849</v>
      </c>
      <c r="D187" s="226">
        <v>854</v>
      </c>
      <c r="E187" s="226">
        <v>2</v>
      </c>
      <c r="F187" s="225"/>
      <c r="G187" s="215" t="s">
        <v>813</v>
      </c>
      <c r="H187" s="226">
        <v>1698</v>
      </c>
      <c r="I187" s="226">
        <v>1707</v>
      </c>
      <c r="J187" s="226">
        <v>593</v>
      </c>
      <c r="K187" s="226">
        <v>0</v>
      </c>
      <c r="L187" s="215" t="s">
        <v>978</v>
      </c>
      <c r="M187" s="215" t="s">
        <v>986</v>
      </c>
    </row>
    <row r="188" spans="1:13" ht="16.2" thickBot="1" x14ac:dyDescent="0.35">
      <c r="A188" s="215"/>
      <c r="B188" s="224">
        <v>43048</v>
      </c>
      <c r="C188" s="226">
        <v>471</v>
      </c>
      <c r="D188" s="226">
        <v>480</v>
      </c>
      <c r="E188" s="226">
        <v>1</v>
      </c>
      <c r="F188" s="225"/>
      <c r="G188" s="215" t="s">
        <v>813</v>
      </c>
      <c r="H188" s="226">
        <v>471</v>
      </c>
      <c r="I188" s="226">
        <v>480</v>
      </c>
      <c r="J188" s="226">
        <v>79</v>
      </c>
      <c r="K188" s="226">
        <v>0</v>
      </c>
      <c r="L188" s="215" t="s">
        <v>978</v>
      </c>
      <c r="M188" s="215">
        <v>6037262706</v>
      </c>
    </row>
    <row r="189" spans="1:13" ht="409.6" thickBot="1" x14ac:dyDescent="0.35">
      <c r="A189" s="215"/>
      <c r="B189" s="224">
        <v>43050</v>
      </c>
      <c r="C189" s="226">
        <v>12150</v>
      </c>
      <c r="D189" s="226">
        <v>12727</v>
      </c>
      <c r="E189" s="226">
        <v>15</v>
      </c>
      <c r="F189" s="225" t="s">
        <v>987</v>
      </c>
      <c r="G189" s="215" t="s">
        <v>813</v>
      </c>
      <c r="H189" s="226">
        <v>182246</v>
      </c>
      <c r="I189" s="226">
        <v>190910</v>
      </c>
      <c r="J189" s="226">
        <v>166555</v>
      </c>
      <c r="K189" s="226">
        <v>11</v>
      </c>
      <c r="L189" s="215" t="s">
        <v>988</v>
      </c>
      <c r="M189" s="215" t="s">
        <v>989</v>
      </c>
    </row>
    <row r="190" spans="1:13" ht="16.2" thickBot="1" x14ac:dyDescent="0.35">
      <c r="A190" s="215"/>
      <c r="B190" s="224">
        <v>43052</v>
      </c>
      <c r="C190" s="226">
        <v>218</v>
      </c>
      <c r="D190" s="226">
        <v>334</v>
      </c>
      <c r="E190" s="226">
        <v>1</v>
      </c>
      <c r="F190" s="225"/>
      <c r="G190" s="215" t="s">
        <v>813</v>
      </c>
      <c r="H190" s="226">
        <v>218</v>
      </c>
      <c r="I190" s="226">
        <v>334</v>
      </c>
      <c r="J190" s="226">
        <v>282</v>
      </c>
      <c r="K190" s="226">
        <v>0</v>
      </c>
      <c r="L190" s="215" t="s">
        <v>978</v>
      </c>
      <c r="M190" s="215">
        <v>6037262301</v>
      </c>
    </row>
    <row r="191" spans="1:13" ht="409.6" thickBot="1" x14ac:dyDescent="0.35">
      <c r="A191" s="215"/>
      <c r="B191" s="224">
        <v>43053</v>
      </c>
      <c r="C191" s="226">
        <v>5014</v>
      </c>
      <c r="D191" s="226">
        <v>5091</v>
      </c>
      <c r="E191" s="226">
        <v>9</v>
      </c>
      <c r="F191" s="225"/>
      <c r="G191" s="215" t="s">
        <v>813</v>
      </c>
      <c r="H191" s="226">
        <v>45128</v>
      </c>
      <c r="I191" s="226">
        <v>45820</v>
      </c>
      <c r="J191" s="226">
        <v>40920</v>
      </c>
      <c r="K191" s="226">
        <v>3</v>
      </c>
      <c r="L191" s="215" t="s">
        <v>990</v>
      </c>
      <c r="M191" s="215" t="s">
        <v>991</v>
      </c>
    </row>
    <row r="192" spans="1:13" ht="409.6" thickBot="1" x14ac:dyDescent="0.35">
      <c r="A192" s="215"/>
      <c r="B192" s="224">
        <v>43055</v>
      </c>
      <c r="C192" s="226">
        <v>6609</v>
      </c>
      <c r="D192" s="226">
        <v>6664</v>
      </c>
      <c r="E192" s="226">
        <v>9</v>
      </c>
      <c r="F192" s="225"/>
      <c r="G192" s="215" t="s">
        <v>813</v>
      </c>
      <c r="H192" s="226">
        <v>59479</v>
      </c>
      <c r="I192" s="226">
        <v>59977</v>
      </c>
      <c r="J192" s="226">
        <v>53484</v>
      </c>
      <c r="K192" s="226">
        <v>3</v>
      </c>
      <c r="L192" s="215" t="s">
        <v>992</v>
      </c>
      <c r="M192" s="215" t="s">
        <v>993</v>
      </c>
    </row>
    <row r="193" spans="1:13" ht="409.6" thickBot="1" x14ac:dyDescent="0.35">
      <c r="A193" s="215"/>
      <c r="B193" s="224">
        <v>43056</v>
      </c>
      <c r="C193" s="226">
        <v>4539</v>
      </c>
      <c r="D193" s="226">
        <v>4637</v>
      </c>
      <c r="E193" s="226">
        <v>8</v>
      </c>
      <c r="F193" s="225"/>
      <c r="G193" s="215" t="s">
        <v>813</v>
      </c>
      <c r="H193" s="226">
        <v>36308</v>
      </c>
      <c r="I193" s="226">
        <v>37099</v>
      </c>
      <c r="J193" s="226">
        <v>33701</v>
      </c>
      <c r="K193" s="226">
        <v>2</v>
      </c>
      <c r="L193" s="215" t="s">
        <v>990</v>
      </c>
      <c r="M193" s="215" t="s">
        <v>994</v>
      </c>
    </row>
    <row r="194" spans="1:13" ht="234.6" thickBot="1" x14ac:dyDescent="0.35">
      <c r="A194" s="215"/>
      <c r="B194" s="224">
        <v>43057</v>
      </c>
      <c r="C194" s="226">
        <v>2828</v>
      </c>
      <c r="D194" s="226">
        <v>2940</v>
      </c>
      <c r="E194" s="226">
        <v>6</v>
      </c>
      <c r="F194" s="225"/>
      <c r="G194" s="215" t="s">
        <v>813</v>
      </c>
      <c r="H194" s="226">
        <v>16969</v>
      </c>
      <c r="I194" s="226">
        <v>17640</v>
      </c>
      <c r="J194" s="226">
        <v>16395</v>
      </c>
      <c r="K194" s="226">
        <v>1</v>
      </c>
      <c r="L194" s="215" t="s">
        <v>978</v>
      </c>
      <c r="M194" s="215" t="s">
        <v>995</v>
      </c>
    </row>
    <row r="195" spans="1:13" ht="78.599999999999994" thickBot="1" x14ac:dyDescent="0.35">
      <c r="A195" s="215"/>
      <c r="B195" s="224">
        <v>43058</v>
      </c>
      <c r="C195" s="226">
        <v>3947</v>
      </c>
      <c r="D195" s="226">
        <v>3995</v>
      </c>
      <c r="E195" s="226">
        <v>2</v>
      </c>
      <c r="F195" s="225"/>
      <c r="G195" s="215" t="s">
        <v>813</v>
      </c>
      <c r="H195" s="226">
        <v>7894</v>
      </c>
      <c r="I195" s="226">
        <v>7989</v>
      </c>
      <c r="J195" s="226">
        <v>7208</v>
      </c>
      <c r="K195" s="226">
        <v>1</v>
      </c>
      <c r="L195" s="215" t="s">
        <v>996</v>
      </c>
      <c r="M195" s="215" t="s">
        <v>997</v>
      </c>
    </row>
    <row r="196" spans="1:13" ht="409.6" thickBot="1" x14ac:dyDescent="0.35">
      <c r="A196" s="215"/>
      <c r="B196" s="224">
        <v>43060</v>
      </c>
      <c r="C196" s="226">
        <v>6130</v>
      </c>
      <c r="D196" s="226">
        <v>6232</v>
      </c>
      <c r="E196" s="226">
        <v>5</v>
      </c>
      <c r="F196" s="225"/>
      <c r="G196" s="215" t="s">
        <v>813</v>
      </c>
      <c r="H196" s="226">
        <v>30648</v>
      </c>
      <c r="I196" s="226">
        <v>31160</v>
      </c>
      <c r="J196" s="226">
        <v>28125</v>
      </c>
      <c r="K196" s="226">
        <v>3</v>
      </c>
      <c r="L196" s="215" t="s">
        <v>998</v>
      </c>
      <c r="M196" s="215" t="s">
        <v>999</v>
      </c>
    </row>
    <row r="197" spans="1:13" ht="16.2" thickBot="1" x14ac:dyDescent="0.35">
      <c r="A197" s="215"/>
      <c r="B197" s="224">
        <v>43063</v>
      </c>
      <c r="C197" s="226">
        <v>3</v>
      </c>
      <c r="D197" s="226">
        <v>3</v>
      </c>
      <c r="E197" s="226">
        <v>1</v>
      </c>
      <c r="F197" s="225"/>
      <c r="G197" s="215" t="s">
        <v>813</v>
      </c>
      <c r="H197" s="226">
        <v>3</v>
      </c>
      <c r="I197" s="226">
        <v>3</v>
      </c>
      <c r="J197" s="226">
        <v>1</v>
      </c>
      <c r="K197" s="226">
        <v>0</v>
      </c>
      <c r="L197" s="215" t="s">
        <v>978</v>
      </c>
      <c r="M197" s="215">
        <v>6037980028</v>
      </c>
    </row>
    <row r="198" spans="1:13" ht="47.4" thickBot="1" x14ac:dyDescent="0.35">
      <c r="A198" s="215"/>
      <c r="B198" s="224">
        <v>43065</v>
      </c>
      <c r="C198" s="226">
        <v>113</v>
      </c>
      <c r="D198" s="226">
        <v>114</v>
      </c>
      <c r="E198" s="226">
        <v>2</v>
      </c>
      <c r="F198" s="225"/>
      <c r="G198" s="215" t="s">
        <v>813</v>
      </c>
      <c r="H198" s="226">
        <v>226</v>
      </c>
      <c r="I198" s="226">
        <v>227</v>
      </c>
      <c r="J198" s="226">
        <v>137</v>
      </c>
      <c r="K198" s="226">
        <v>4</v>
      </c>
      <c r="L198" s="215" t="s">
        <v>996</v>
      </c>
      <c r="M198" s="215" t="s">
        <v>1000</v>
      </c>
    </row>
    <row r="199" spans="1:13" ht="31.8" thickBot="1" x14ac:dyDescent="0.35">
      <c r="A199" s="215"/>
      <c r="B199" s="224">
        <v>43066</v>
      </c>
      <c r="C199" s="226">
        <v>28</v>
      </c>
      <c r="D199" s="226">
        <v>30</v>
      </c>
      <c r="E199" s="226">
        <v>2</v>
      </c>
      <c r="F199" s="225"/>
      <c r="G199" s="215" t="s">
        <v>813</v>
      </c>
      <c r="H199" s="226">
        <v>56</v>
      </c>
      <c r="I199" s="226">
        <v>59</v>
      </c>
      <c r="J199" s="226">
        <v>39</v>
      </c>
      <c r="K199" s="226">
        <v>1</v>
      </c>
      <c r="L199" s="215" t="s">
        <v>998</v>
      </c>
      <c r="M199" s="215" t="s">
        <v>1001</v>
      </c>
    </row>
    <row r="200" spans="1:13" ht="328.2" thickBot="1" x14ac:dyDescent="0.35">
      <c r="A200" s="215"/>
      <c r="B200" s="224">
        <v>43067</v>
      </c>
      <c r="C200" s="226">
        <v>508</v>
      </c>
      <c r="D200" s="226">
        <v>529</v>
      </c>
      <c r="E200" s="226">
        <v>4</v>
      </c>
      <c r="F200" s="225"/>
      <c r="G200" s="215" t="s">
        <v>813</v>
      </c>
      <c r="H200" s="226">
        <v>2030</v>
      </c>
      <c r="I200" s="226">
        <v>2114</v>
      </c>
      <c r="J200" s="226">
        <v>1821</v>
      </c>
      <c r="K200" s="226">
        <v>2</v>
      </c>
      <c r="L200" s="215" t="s">
        <v>1002</v>
      </c>
      <c r="M200" s="215" t="s">
        <v>1003</v>
      </c>
    </row>
    <row r="201" spans="1:13" ht="47.4" thickBot="1" x14ac:dyDescent="0.35">
      <c r="A201" s="215"/>
      <c r="B201" s="224">
        <v>43068</v>
      </c>
      <c r="C201" s="226">
        <v>661</v>
      </c>
      <c r="D201" s="226">
        <v>683</v>
      </c>
      <c r="E201" s="226">
        <v>1</v>
      </c>
      <c r="F201" s="225"/>
      <c r="G201" s="215" t="s">
        <v>813</v>
      </c>
      <c r="H201" s="226">
        <v>661</v>
      </c>
      <c r="I201" s="226">
        <v>683</v>
      </c>
      <c r="J201" s="226">
        <v>579</v>
      </c>
      <c r="K201" s="226">
        <v>1</v>
      </c>
      <c r="L201" s="215" t="s">
        <v>1004</v>
      </c>
      <c r="M201" s="215" t="s">
        <v>1005</v>
      </c>
    </row>
    <row r="202" spans="1:13" ht="409.6" thickBot="1" x14ac:dyDescent="0.35">
      <c r="A202" s="215"/>
      <c r="B202" s="224">
        <v>43069</v>
      </c>
      <c r="C202" s="226">
        <v>5685</v>
      </c>
      <c r="D202" s="226">
        <v>5812</v>
      </c>
      <c r="E202" s="226">
        <v>14</v>
      </c>
      <c r="F202" s="225"/>
      <c r="G202" s="215" t="s">
        <v>813</v>
      </c>
      <c r="H202" s="226">
        <v>79593</v>
      </c>
      <c r="I202" s="226">
        <v>81367</v>
      </c>
      <c r="J202" s="226">
        <v>71835</v>
      </c>
      <c r="K202" s="226">
        <v>1</v>
      </c>
      <c r="L202" s="215" t="s">
        <v>1006</v>
      </c>
      <c r="M202" s="215" t="s">
        <v>1007</v>
      </c>
    </row>
    <row r="203" spans="1:13" ht="312.60000000000002" thickBot="1" x14ac:dyDescent="0.35">
      <c r="A203" s="215"/>
      <c r="B203" s="224">
        <v>43071</v>
      </c>
      <c r="C203" s="226">
        <v>2370</v>
      </c>
      <c r="D203" s="226">
        <v>2470</v>
      </c>
      <c r="E203" s="226">
        <v>3</v>
      </c>
      <c r="F203" s="225"/>
      <c r="G203" s="215" t="s">
        <v>813</v>
      </c>
      <c r="H203" s="226">
        <v>7111</v>
      </c>
      <c r="I203" s="226">
        <v>7411</v>
      </c>
      <c r="J203" s="226">
        <v>6367</v>
      </c>
      <c r="K203" s="226">
        <v>2</v>
      </c>
      <c r="L203" s="215" t="s">
        <v>1008</v>
      </c>
      <c r="M203" s="215" t="s">
        <v>1009</v>
      </c>
    </row>
    <row r="204" spans="1:13" ht="234.6" thickBot="1" x14ac:dyDescent="0.35">
      <c r="A204" s="215"/>
      <c r="B204" s="224">
        <v>43072</v>
      </c>
      <c r="C204" s="226">
        <v>2501</v>
      </c>
      <c r="D204" s="226">
        <v>2904</v>
      </c>
      <c r="E204" s="226">
        <v>5</v>
      </c>
      <c r="F204" s="225"/>
      <c r="G204" s="215" t="s">
        <v>813</v>
      </c>
      <c r="H204" s="226">
        <v>12504</v>
      </c>
      <c r="I204" s="226">
        <v>14520</v>
      </c>
      <c r="J204" s="226">
        <v>13436</v>
      </c>
      <c r="K204" s="226">
        <v>1</v>
      </c>
      <c r="L204" s="215" t="s">
        <v>1010</v>
      </c>
      <c r="M204" s="215" t="s">
        <v>1011</v>
      </c>
    </row>
    <row r="205" spans="1:13" ht="409.6" thickBot="1" x14ac:dyDescent="0.35">
      <c r="A205" s="215"/>
      <c r="B205" s="224">
        <v>43073</v>
      </c>
      <c r="C205" s="226">
        <v>4623</v>
      </c>
      <c r="D205" s="226">
        <v>4849</v>
      </c>
      <c r="E205" s="226">
        <v>19</v>
      </c>
      <c r="F205" s="225"/>
      <c r="G205" s="215" t="s">
        <v>813</v>
      </c>
      <c r="H205" s="226">
        <v>87830</v>
      </c>
      <c r="I205" s="226">
        <v>92136</v>
      </c>
      <c r="J205" s="226">
        <v>79604</v>
      </c>
      <c r="K205" s="226">
        <v>4</v>
      </c>
      <c r="L205" s="215" t="s">
        <v>998</v>
      </c>
      <c r="M205" s="215" t="s">
        <v>1012</v>
      </c>
    </row>
    <row r="206" spans="1:13" ht="16.2" thickBot="1" x14ac:dyDescent="0.35">
      <c r="A206" s="215"/>
      <c r="B206" s="224">
        <v>43077</v>
      </c>
      <c r="C206" s="226">
        <v>69</v>
      </c>
      <c r="D206" s="226">
        <v>69</v>
      </c>
      <c r="E206" s="226">
        <v>2</v>
      </c>
      <c r="F206" s="225"/>
      <c r="G206" s="215" t="s">
        <v>813</v>
      </c>
      <c r="H206" s="226">
        <v>138</v>
      </c>
      <c r="I206" s="226">
        <v>138</v>
      </c>
      <c r="J206" s="226">
        <v>55</v>
      </c>
      <c r="K206" s="226">
        <v>0</v>
      </c>
      <c r="L206" s="215" t="s">
        <v>998</v>
      </c>
      <c r="M206" s="215">
        <v>6037651101</v>
      </c>
    </row>
    <row r="207" spans="1:13" ht="47.4" thickBot="1" x14ac:dyDescent="0.35">
      <c r="A207" s="215"/>
      <c r="B207" s="224">
        <v>43078</v>
      </c>
      <c r="C207" s="226">
        <v>245</v>
      </c>
      <c r="D207" s="226">
        <v>245</v>
      </c>
      <c r="E207" s="226">
        <v>1</v>
      </c>
      <c r="F207" s="225"/>
      <c r="G207" s="215" t="s">
        <v>813</v>
      </c>
      <c r="H207" s="226">
        <v>245</v>
      </c>
      <c r="I207" s="226">
        <v>245</v>
      </c>
      <c r="J207" s="226">
        <v>197</v>
      </c>
      <c r="K207" s="226">
        <v>1</v>
      </c>
      <c r="L207" s="215" t="s">
        <v>998</v>
      </c>
      <c r="M207" s="215" t="s">
        <v>1013</v>
      </c>
    </row>
    <row r="208" spans="1:13" ht="16.2" thickBot="1" x14ac:dyDescent="0.35">
      <c r="A208" s="215"/>
      <c r="B208" s="224">
        <v>43082</v>
      </c>
      <c r="C208" s="226">
        <v>46</v>
      </c>
      <c r="D208" s="226">
        <v>78</v>
      </c>
      <c r="E208" s="226">
        <v>1</v>
      </c>
      <c r="F208" s="225"/>
      <c r="G208" s="215" t="s">
        <v>813</v>
      </c>
      <c r="H208" s="226">
        <v>46</v>
      </c>
      <c r="I208" s="226">
        <v>78</v>
      </c>
      <c r="J208" s="226">
        <v>74</v>
      </c>
      <c r="K208" s="226">
        <v>0</v>
      </c>
      <c r="L208" s="215" t="s">
        <v>1014</v>
      </c>
      <c r="M208" s="215">
        <v>6037670201</v>
      </c>
    </row>
    <row r="209" spans="1:13" ht="63" thickBot="1" x14ac:dyDescent="0.35">
      <c r="A209" s="215"/>
      <c r="B209" s="224">
        <v>43083</v>
      </c>
      <c r="C209" s="226">
        <v>25</v>
      </c>
      <c r="D209" s="226">
        <v>25</v>
      </c>
      <c r="E209" s="226">
        <v>1</v>
      </c>
      <c r="F209" s="225"/>
      <c r="G209" s="215" t="s">
        <v>813</v>
      </c>
      <c r="H209" s="226">
        <v>25</v>
      </c>
      <c r="I209" s="226">
        <v>25</v>
      </c>
      <c r="J209" s="226">
        <v>20</v>
      </c>
      <c r="K209" s="226">
        <v>1</v>
      </c>
      <c r="L209" s="215" t="s">
        <v>1014</v>
      </c>
      <c r="M209" s="215" t="s">
        <v>1015</v>
      </c>
    </row>
    <row r="210" spans="1:13" ht="328.2" thickBot="1" x14ac:dyDescent="0.35">
      <c r="A210" s="215"/>
      <c r="B210" s="224">
        <v>43084</v>
      </c>
      <c r="C210" s="226">
        <v>6167</v>
      </c>
      <c r="D210" s="226">
        <v>7499</v>
      </c>
      <c r="E210" s="226">
        <v>2</v>
      </c>
      <c r="F210" s="225"/>
      <c r="G210" s="215" t="s">
        <v>813</v>
      </c>
      <c r="H210" s="226">
        <v>12333</v>
      </c>
      <c r="I210" s="226">
        <v>14998</v>
      </c>
      <c r="J210" s="226">
        <v>13524</v>
      </c>
      <c r="K210" s="226">
        <v>3</v>
      </c>
      <c r="L210" s="215" t="s">
        <v>1016</v>
      </c>
      <c r="M210" s="215" t="s">
        <v>1017</v>
      </c>
    </row>
    <row r="211" spans="1:13" ht="409.6" thickBot="1" x14ac:dyDescent="0.35">
      <c r="A211" s="215"/>
      <c r="B211" s="224">
        <v>43085</v>
      </c>
      <c r="C211" s="226">
        <v>3515</v>
      </c>
      <c r="D211" s="226">
        <v>3557</v>
      </c>
      <c r="E211" s="226">
        <v>10</v>
      </c>
      <c r="F211" s="225"/>
      <c r="G211" s="215" t="s">
        <v>813</v>
      </c>
      <c r="H211" s="226">
        <v>35150</v>
      </c>
      <c r="I211" s="226">
        <v>35573</v>
      </c>
      <c r="J211" s="226">
        <v>32845</v>
      </c>
      <c r="K211" s="226">
        <v>0</v>
      </c>
      <c r="L211" s="215" t="s">
        <v>1010</v>
      </c>
      <c r="M211" s="215" t="s">
        <v>1018</v>
      </c>
    </row>
    <row r="212" spans="1:13" ht="409.6" thickBot="1" x14ac:dyDescent="0.35">
      <c r="A212" s="215"/>
      <c r="B212" s="224">
        <v>43086</v>
      </c>
      <c r="C212" s="226">
        <v>9508</v>
      </c>
      <c r="D212" s="226">
        <v>11171</v>
      </c>
      <c r="E212" s="226">
        <v>4</v>
      </c>
      <c r="F212" s="225"/>
      <c r="G212" s="215" t="s">
        <v>813</v>
      </c>
      <c r="H212" s="226">
        <v>38033</v>
      </c>
      <c r="I212" s="226">
        <v>44682</v>
      </c>
      <c r="J212" s="226">
        <v>40701</v>
      </c>
      <c r="K212" s="226">
        <v>5</v>
      </c>
      <c r="L212" s="215" t="s">
        <v>1010</v>
      </c>
      <c r="M212" s="215" t="s">
        <v>1019</v>
      </c>
    </row>
    <row r="213" spans="1:13" ht="16.2" thickBot="1" x14ac:dyDescent="0.35">
      <c r="A213" s="215"/>
      <c r="B213" s="224">
        <v>43088</v>
      </c>
      <c r="C213" s="226">
        <v>46</v>
      </c>
      <c r="D213" s="226">
        <v>55</v>
      </c>
      <c r="E213" s="226">
        <v>1</v>
      </c>
      <c r="F213" s="225"/>
      <c r="G213" s="215" t="s">
        <v>813</v>
      </c>
      <c r="H213" s="226">
        <v>46</v>
      </c>
      <c r="I213" s="226">
        <v>55</v>
      </c>
      <c r="J213" s="226">
        <v>16</v>
      </c>
      <c r="K213" s="226">
        <v>1</v>
      </c>
      <c r="L213" s="215" t="s">
        <v>1014</v>
      </c>
      <c r="M213" s="215">
        <v>6037980031</v>
      </c>
    </row>
    <row r="214" spans="1:13" ht="31.8" thickBot="1" x14ac:dyDescent="0.35">
      <c r="A214" s="215"/>
      <c r="B214" s="224">
        <v>43092</v>
      </c>
      <c r="C214" s="226">
        <v>83</v>
      </c>
      <c r="D214" s="226">
        <v>100</v>
      </c>
      <c r="E214" s="226">
        <v>2</v>
      </c>
      <c r="F214" s="225"/>
      <c r="G214" s="215" t="s">
        <v>813</v>
      </c>
      <c r="H214" s="226">
        <v>165</v>
      </c>
      <c r="I214" s="226">
        <v>200</v>
      </c>
      <c r="J214" s="226">
        <v>25</v>
      </c>
      <c r="K214" s="226">
        <v>0</v>
      </c>
      <c r="L214" s="215" t="s">
        <v>978</v>
      </c>
      <c r="M214" s="215" t="s">
        <v>1020</v>
      </c>
    </row>
    <row r="215" spans="1:13" ht="16.2" thickBot="1" x14ac:dyDescent="0.35">
      <c r="A215" s="215"/>
      <c r="B215" s="224">
        <v>43093</v>
      </c>
      <c r="C215" s="226">
        <v>62</v>
      </c>
      <c r="D215" s="226">
        <v>62</v>
      </c>
      <c r="E215" s="226">
        <v>1</v>
      </c>
      <c r="F215" s="225"/>
      <c r="G215" s="215" t="s">
        <v>813</v>
      </c>
      <c r="H215" s="226">
        <v>62</v>
      </c>
      <c r="I215" s="226">
        <v>62</v>
      </c>
      <c r="J215" s="226">
        <v>37</v>
      </c>
      <c r="K215" s="226">
        <v>0</v>
      </c>
      <c r="L215" s="215" t="s">
        <v>998</v>
      </c>
      <c r="M215" s="215">
        <v>6037980013</v>
      </c>
    </row>
    <row r="216" spans="1:13" ht="16.2" thickBot="1" x14ac:dyDescent="0.35">
      <c r="A216" s="215"/>
      <c r="B216" s="224">
        <v>43094</v>
      </c>
      <c r="C216" s="226">
        <v>11</v>
      </c>
      <c r="D216" s="226">
        <v>11</v>
      </c>
      <c r="E216" s="226">
        <v>1</v>
      </c>
      <c r="F216" s="225"/>
      <c r="G216" s="215" t="s">
        <v>813</v>
      </c>
      <c r="H216" s="226">
        <v>11</v>
      </c>
      <c r="I216" s="226">
        <v>11</v>
      </c>
      <c r="J216" s="226">
        <v>11</v>
      </c>
      <c r="K216" s="226">
        <v>0</v>
      </c>
      <c r="L216" s="215" t="s">
        <v>1021</v>
      </c>
      <c r="M216" s="215">
        <v>6037141600</v>
      </c>
    </row>
    <row r="217" spans="1:13" ht="16.2" thickBot="1" x14ac:dyDescent="0.35">
      <c r="A217" s="215"/>
      <c r="B217" s="224">
        <v>43095</v>
      </c>
      <c r="C217" s="226">
        <v>80</v>
      </c>
      <c r="D217" s="226">
        <v>80</v>
      </c>
      <c r="E217" s="226">
        <v>1</v>
      </c>
      <c r="F217" s="225"/>
      <c r="G217" s="215" t="s">
        <v>813</v>
      </c>
      <c r="H217" s="226">
        <v>80</v>
      </c>
      <c r="I217" s="226">
        <v>80</v>
      </c>
      <c r="J217" s="226">
        <v>78</v>
      </c>
      <c r="K217" s="226">
        <v>0</v>
      </c>
      <c r="L217" s="215" t="s">
        <v>1022</v>
      </c>
      <c r="M217" s="215">
        <v>6037143901</v>
      </c>
    </row>
    <row r="218" spans="1:13" ht="47.4" thickBot="1" x14ac:dyDescent="0.35">
      <c r="A218" s="215"/>
      <c r="B218" s="224">
        <v>43100</v>
      </c>
      <c r="C218" s="226">
        <v>658</v>
      </c>
      <c r="D218" s="226">
        <v>727</v>
      </c>
      <c r="E218" s="226">
        <v>2</v>
      </c>
      <c r="F218" s="225"/>
      <c r="G218" s="215" t="s">
        <v>813</v>
      </c>
      <c r="H218" s="226">
        <v>1316</v>
      </c>
      <c r="I218" s="226">
        <v>1453</v>
      </c>
      <c r="J218" s="226">
        <v>1364</v>
      </c>
      <c r="K218" s="226">
        <v>0</v>
      </c>
      <c r="L218" s="215" t="s">
        <v>1016</v>
      </c>
      <c r="M218" s="215" t="s">
        <v>1023</v>
      </c>
    </row>
    <row r="219" spans="1:13" ht="16.2" thickBot="1" x14ac:dyDescent="0.35">
      <c r="A219" s="215"/>
      <c r="B219" s="224">
        <v>43101</v>
      </c>
      <c r="C219" s="226">
        <v>964</v>
      </c>
      <c r="D219" s="226">
        <v>985</v>
      </c>
      <c r="E219" s="226">
        <v>1</v>
      </c>
      <c r="F219" s="225"/>
      <c r="G219" s="215" t="s">
        <v>813</v>
      </c>
      <c r="H219" s="226">
        <v>964</v>
      </c>
      <c r="I219" s="226">
        <v>985</v>
      </c>
      <c r="J219" s="226">
        <v>963</v>
      </c>
      <c r="K219" s="226">
        <v>0</v>
      </c>
      <c r="L219" s="215" t="s">
        <v>1024</v>
      </c>
      <c r="M219" s="215">
        <v>6037543607</v>
      </c>
    </row>
    <row r="220" spans="1:13" ht="219" thickBot="1" x14ac:dyDescent="0.35">
      <c r="A220" s="215"/>
      <c r="B220" s="224">
        <v>43103</v>
      </c>
      <c r="C220" s="226">
        <v>2424</v>
      </c>
      <c r="D220" s="226">
        <v>2905</v>
      </c>
      <c r="E220" s="226">
        <v>4</v>
      </c>
      <c r="F220" s="225"/>
      <c r="G220" s="215" t="s">
        <v>813</v>
      </c>
      <c r="H220" s="226">
        <v>9694</v>
      </c>
      <c r="I220" s="226">
        <v>11621</v>
      </c>
      <c r="J220" s="226">
        <v>10804</v>
      </c>
      <c r="K220" s="226">
        <v>2</v>
      </c>
      <c r="L220" s="215" t="s">
        <v>1024</v>
      </c>
      <c r="M220" s="215" t="s">
        <v>1025</v>
      </c>
    </row>
    <row r="221" spans="1:13" ht="47.4" thickBot="1" x14ac:dyDescent="0.35">
      <c r="A221" s="215"/>
      <c r="B221" s="224">
        <v>43105</v>
      </c>
      <c r="C221" s="226">
        <v>85</v>
      </c>
      <c r="D221" s="226">
        <v>85</v>
      </c>
      <c r="E221" s="226">
        <v>2</v>
      </c>
      <c r="F221" s="225"/>
      <c r="G221" s="215" t="s">
        <v>813</v>
      </c>
      <c r="H221" s="226">
        <v>169</v>
      </c>
      <c r="I221" s="226">
        <v>170</v>
      </c>
      <c r="J221" s="226">
        <v>85</v>
      </c>
      <c r="K221" s="226">
        <v>2</v>
      </c>
      <c r="L221" s="215" t="s">
        <v>1024</v>
      </c>
      <c r="M221" s="215" t="s">
        <v>1026</v>
      </c>
    </row>
    <row r="222" spans="1:13" ht="409.6" thickBot="1" x14ac:dyDescent="0.35">
      <c r="A222" s="215"/>
      <c r="B222" s="224">
        <v>43106</v>
      </c>
      <c r="C222" s="226">
        <v>6511</v>
      </c>
      <c r="D222" s="226">
        <v>6644</v>
      </c>
      <c r="E222" s="226">
        <v>11</v>
      </c>
      <c r="F222" s="225" t="s">
        <v>1027</v>
      </c>
      <c r="G222" s="215" t="s">
        <v>813</v>
      </c>
      <c r="H222" s="226">
        <v>71625</v>
      </c>
      <c r="I222" s="226">
        <v>73080</v>
      </c>
      <c r="J222" s="226">
        <v>66222</v>
      </c>
      <c r="K222" s="226">
        <v>14</v>
      </c>
      <c r="L222" s="215" t="s">
        <v>968</v>
      </c>
      <c r="M222" s="215" t="s">
        <v>1028</v>
      </c>
    </row>
    <row r="223" spans="1:13" ht="16.2" thickBot="1" x14ac:dyDescent="0.35">
      <c r="A223" s="215"/>
      <c r="B223" s="224">
        <v>43107</v>
      </c>
      <c r="C223" s="226">
        <v>13</v>
      </c>
      <c r="D223" s="226">
        <v>13</v>
      </c>
      <c r="E223" s="226">
        <v>1</v>
      </c>
      <c r="F223" s="225"/>
      <c r="G223" s="215" t="s">
        <v>813</v>
      </c>
      <c r="H223" s="226">
        <v>13</v>
      </c>
      <c r="I223" s="226">
        <v>13</v>
      </c>
      <c r="J223" s="226">
        <v>4</v>
      </c>
      <c r="K223" s="226">
        <v>1</v>
      </c>
      <c r="L223" s="215" t="s">
        <v>1024</v>
      </c>
      <c r="M223" s="215">
        <v>6037541603</v>
      </c>
    </row>
    <row r="224" spans="1:13" ht="409.6" thickBot="1" x14ac:dyDescent="0.35">
      <c r="A224" s="215"/>
      <c r="B224" s="224">
        <v>43109</v>
      </c>
      <c r="C224" s="226">
        <v>5699</v>
      </c>
      <c r="D224" s="226">
        <v>5811</v>
      </c>
      <c r="E224" s="226">
        <v>9</v>
      </c>
      <c r="F224" s="225"/>
      <c r="G224" s="215" t="s">
        <v>813</v>
      </c>
      <c r="H224" s="226">
        <v>51287</v>
      </c>
      <c r="I224" s="226">
        <v>52297</v>
      </c>
      <c r="J224" s="226">
        <v>45714</v>
      </c>
      <c r="K224" s="226">
        <v>1</v>
      </c>
      <c r="L224" s="215" t="s">
        <v>1029</v>
      </c>
      <c r="M224" s="215" t="s">
        <v>1030</v>
      </c>
    </row>
    <row r="225" spans="1:13" ht="94.2" thickBot="1" x14ac:dyDescent="0.35">
      <c r="A225" s="215"/>
      <c r="B225" s="224">
        <v>43110</v>
      </c>
      <c r="C225" s="226">
        <v>623</v>
      </c>
      <c r="D225" s="226">
        <v>660</v>
      </c>
      <c r="E225" s="226">
        <v>3</v>
      </c>
      <c r="F225" s="225"/>
      <c r="G225" s="215" t="s">
        <v>813</v>
      </c>
      <c r="H225" s="226">
        <v>1870</v>
      </c>
      <c r="I225" s="226">
        <v>1979</v>
      </c>
      <c r="J225" s="226">
        <v>1584</v>
      </c>
      <c r="K225" s="226">
        <v>4</v>
      </c>
      <c r="L225" s="215" t="s">
        <v>1031</v>
      </c>
      <c r="M225" s="215" t="s">
        <v>1032</v>
      </c>
    </row>
    <row r="226" spans="1:13" ht="409.6" thickBot="1" x14ac:dyDescent="0.35">
      <c r="A226" s="215"/>
      <c r="B226" s="224">
        <v>43111</v>
      </c>
      <c r="C226" s="226">
        <v>5614</v>
      </c>
      <c r="D226" s="226">
        <v>5672</v>
      </c>
      <c r="E226" s="226">
        <v>5</v>
      </c>
      <c r="F226" s="225"/>
      <c r="G226" s="215" t="s">
        <v>813</v>
      </c>
      <c r="H226" s="226">
        <v>28068</v>
      </c>
      <c r="I226" s="226">
        <v>28358</v>
      </c>
      <c r="J226" s="226">
        <v>26314</v>
      </c>
      <c r="K226" s="226">
        <v>1</v>
      </c>
      <c r="L226" s="215" t="s">
        <v>1031</v>
      </c>
      <c r="M226" s="215" t="s">
        <v>1033</v>
      </c>
    </row>
    <row r="227" spans="1:13" ht="390.6" thickBot="1" x14ac:dyDescent="0.35">
      <c r="A227" s="215"/>
      <c r="B227" s="224">
        <v>43112</v>
      </c>
      <c r="C227" s="226">
        <v>3245</v>
      </c>
      <c r="D227" s="226">
        <v>3765</v>
      </c>
      <c r="E227" s="226">
        <v>6</v>
      </c>
      <c r="F227" s="225"/>
      <c r="G227" s="215" t="s">
        <v>813</v>
      </c>
      <c r="H227" s="226">
        <v>19472</v>
      </c>
      <c r="I227" s="226">
        <v>22588</v>
      </c>
      <c r="J227" s="226">
        <v>20421</v>
      </c>
      <c r="K227" s="226">
        <v>0</v>
      </c>
      <c r="L227" s="215" t="s">
        <v>1034</v>
      </c>
      <c r="M227" s="215" t="s">
        <v>1035</v>
      </c>
    </row>
    <row r="228" spans="1:13" ht="187.8" thickBot="1" x14ac:dyDescent="0.35">
      <c r="A228" s="215"/>
      <c r="B228" s="224">
        <v>43114</v>
      </c>
      <c r="C228" s="226">
        <v>4958</v>
      </c>
      <c r="D228" s="226">
        <v>5166</v>
      </c>
      <c r="E228" s="226">
        <v>2</v>
      </c>
      <c r="F228" s="225"/>
      <c r="G228" s="215" t="s">
        <v>813</v>
      </c>
      <c r="H228" s="226">
        <v>9916</v>
      </c>
      <c r="I228" s="226">
        <v>10331</v>
      </c>
      <c r="J228" s="226">
        <v>8772</v>
      </c>
      <c r="K228" s="226">
        <v>1</v>
      </c>
      <c r="L228" s="215" t="s">
        <v>1034</v>
      </c>
      <c r="M228" s="215" t="s">
        <v>1036</v>
      </c>
    </row>
    <row r="229" spans="1:13" ht="409.6" thickBot="1" x14ac:dyDescent="0.35">
      <c r="A229" s="215"/>
      <c r="B229" s="224">
        <v>43115</v>
      </c>
      <c r="C229" s="226">
        <v>2461</v>
      </c>
      <c r="D229" s="226">
        <v>2553</v>
      </c>
      <c r="E229" s="226">
        <v>4</v>
      </c>
      <c r="F229" s="225"/>
      <c r="G229" s="215" t="s">
        <v>813</v>
      </c>
      <c r="H229" s="226">
        <v>9844</v>
      </c>
      <c r="I229" s="226">
        <v>10210</v>
      </c>
      <c r="J229" s="226">
        <v>8400</v>
      </c>
      <c r="K229" s="226">
        <v>1</v>
      </c>
      <c r="L229" s="215" t="s">
        <v>1031</v>
      </c>
      <c r="M229" s="215" t="s">
        <v>1037</v>
      </c>
    </row>
    <row r="230" spans="1:13" ht="250.2" thickBot="1" x14ac:dyDescent="0.35">
      <c r="A230" s="215"/>
      <c r="B230" s="224">
        <v>43117</v>
      </c>
      <c r="C230" s="226">
        <v>4402</v>
      </c>
      <c r="D230" s="226">
        <v>4494</v>
      </c>
      <c r="E230" s="226">
        <v>2</v>
      </c>
      <c r="F230" s="225"/>
      <c r="G230" s="215" t="s">
        <v>813</v>
      </c>
      <c r="H230" s="226">
        <v>8804</v>
      </c>
      <c r="I230" s="226">
        <v>8987</v>
      </c>
      <c r="J230" s="226">
        <v>7311</v>
      </c>
      <c r="K230" s="226">
        <v>1</v>
      </c>
      <c r="L230" s="215" t="s">
        <v>1038</v>
      </c>
      <c r="M230" s="215" t="s">
        <v>1039</v>
      </c>
    </row>
    <row r="231" spans="1:13" ht="409.6" thickBot="1" x14ac:dyDescent="0.35">
      <c r="A231" s="215"/>
      <c r="B231" s="224">
        <v>43118</v>
      </c>
      <c r="C231" s="226">
        <v>2905</v>
      </c>
      <c r="D231" s="226">
        <v>3021</v>
      </c>
      <c r="E231" s="226">
        <v>7</v>
      </c>
      <c r="F231" s="225"/>
      <c r="G231" s="215" t="s">
        <v>813</v>
      </c>
      <c r="H231" s="226">
        <v>20336</v>
      </c>
      <c r="I231" s="226">
        <v>21149</v>
      </c>
      <c r="J231" s="226">
        <v>15216</v>
      </c>
      <c r="K231" s="226">
        <v>6</v>
      </c>
      <c r="L231" s="215" t="s">
        <v>1038</v>
      </c>
      <c r="M231" s="215" t="s">
        <v>1040</v>
      </c>
    </row>
    <row r="232" spans="1:13" ht="409.6" thickBot="1" x14ac:dyDescent="0.35">
      <c r="A232" s="215"/>
      <c r="B232" s="224">
        <v>43119</v>
      </c>
      <c r="C232" s="226">
        <v>707</v>
      </c>
      <c r="D232" s="226">
        <v>760</v>
      </c>
      <c r="E232" s="226">
        <v>9</v>
      </c>
      <c r="F232" s="225"/>
      <c r="G232" s="215" t="s">
        <v>813</v>
      </c>
      <c r="H232" s="226">
        <v>6364</v>
      </c>
      <c r="I232" s="226">
        <v>6838</v>
      </c>
      <c r="J232" s="226">
        <v>4827</v>
      </c>
      <c r="K232" s="226">
        <v>8</v>
      </c>
      <c r="L232" s="215" t="s">
        <v>1038</v>
      </c>
      <c r="M232" s="215" t="s">
        <v>1041</v>
      </c>
    </row>
    <row r="233" spans="1:13" ht="250.2" thickBot="1" x14ac:dyDescent="0.35">
      <c r="A233" s="215"/>
      <c r="B233" s="224">
        <v>43121</v>
      </c>
      <c r="C233" s="226">
        <v>2458</v>
      </c>
      <c r="D233" s="226">
        <v>2569</v>
      </c>
      <c r="E233" s="226">
        <v>4</v>
      </c>
      <c r="F233" s="225"/>
      <c r="G233" s="215" t="s">
        <v>813</v>
      </c>
      <c r="H233" s="226">
        <v>9833</v>
      </c>
      <c r="I233" s="226">
        <v>10276</v>
      </c>
      <c r="J233" s="226">
        <v>9096</v>
      </c>
      <c r="K233" s="226">
        <v>0</v>
      </c>
      <c r="L233" s="215" t="s">
        <v>1042</v>
      </c>
      <c r="M233" s="215" t="s">
        <v>1043</v>
      </c>
    </row>
    <row r="234" spans="1:13" ht="409.6" thickBot="1" x14ac:dyDescent="0.35">
      <c r="A234" s="215"/>
      <c r="B234" s="224">
        <v>43122</v>
      </c>
      <c r="C234" s="226">
        <v>3832</v>
      </c>
      <c r="D234" s="226">
        <v>3933</v>
      </c>
      <c r="E234" s="226">
        <v>5</v>
      </c>
      <c r="F234" s="225"/>
      <c r="G234" s="215" t="s">
        <v>813</v>
      </c>
      <c r="H234" s="226">
        <v>19158</v>
      </c>
      <c r="I234" s="226">
        <v>19663</v>
      </c>
      <c r="J234" s="226">
        <v>17830</v>
      </c>
      <c r="K234" s="226">
        <v>1</v>
      </c>
      <c r="L234" s="215" t="s">
        <v>1044</v>
      </c>
      <c r="M234" s="215" t="s">
        <v>1045</v>
      </c>
    </row>
    <row r="235" spans="1:13" ht="409.6" thickBot="1" x14ac:dyDescent="0.35">
      <c r="A235" s="215"/>
      <c r="B235" s="224">
        <v>43123</v>
      </c>
      <c r="C235" s="226">
        <v>2773</v>
      </c>
      <c r="D235" s="226">
        <v>2867</v>
      </c>
      <c r="E235" s="226">
        <v>9</v>
      </c>
      <c r="F235" s="225"/>
      <c r="G235" s="215" t="s">
        <v>813</v>
      </c>
      <c r="H235" s="226">
        <v>24957</v>
      </c>
      <c r="I235" s="226">
        <v>25802</v>
      </c>
      <c r="J235" s="226">
        <v>22639</v>
      </c>
      <c r="K235" s="226">
        <v>14</v>
      </c>
      <c r="L235" s="215" t="s">
        <v>1046</v>
      </c>
      <c r="M235" s="215" t="s">
        <v>1047</v>
      </c>
    </row>
    <row r="236" spans="1:13" ht="312.60000000000002" thickBot="1" x14ac:dyDescent="0.35">
      <c r="A236" s="215"/>
      <c r="B236" s="224">
        <v>43124</v>
      </c>
      <c r="C236" s="226">
        <v>3449</v>
      </c>
      <c r="D236" s="226">
        <v>3541</v>
      </c>
      <c r="E236" s="226">
        <v>2</v>
      </c>
      <c r="F236" s="225"/>
      <c r="G236" s="215" t="s">
        <v>813</v>
      </c>
      <c r="H236" s="226">
        <v>6897</v>
      </c>
      <c r="I236" s="226">
        <v>7082</v>
      </c>
      <c r="J236" s="226">
        <v>6080</v>
      </c>
      <c r="K236" s="226">
        <v>4</v>
      </c>
      <c r="L236" s="215" t="s">
        <v>1048</v>
      </c>
      <c r="M236" s="215" t="s">
        <v>1049</v>
      </c>
    </row>
    <row r="237" spans="1:13" ht="31.8" thickBot="1" x14ac:dyDescent="0.35">
      <c r="A237" s="215"/>
      <c r="B237" s="224">
        <v>43125</v>
      </c>
      <c r="C237" s="226">
        <v>959</v>
      </c>
      <c r="D237" s="226">
        <v>1013</v>
      </c>
      <c r="E237" s="226">
        <v>2</v>
      </c>
      <c r="F237" s="225"/>
      <c r="G237" s="215" t="s">
        <v>813</v>
      </c>
      <c r="H237" s="226">
        <v>1917</v>
      </c>
      <c r="I237" s="226">
        <v>2026</v>
      </c>
      <c r="J237" s="226">
        <v>1729</v>
      </c>
      <c r="K237" s="226">
        <v>2</v>
      </c>
      <c r="L237" s="215" t="s">
        <v>1042</v>
      </c>
      <c r="M237" s="215" t="s">
        <v>1050</v>
      </c>
    </row>
    <row r="238" spans="1:13" ht="16.2" thickBot="1" x14ac:dyDescent="0.35">
      <c r="A238" s="215"/>
      <c r="B238" s="224">
        <v>43126</v>
      </c>
      <c r="C238" s="226">
        <v>653</v>
      </c>
      <c r="D238" s="226">
        <v>669</v>
      </c>
      <c r="E238" s="226">
        <v>1</v>
      </c>
      <c r="F238" s="225"/>
      <c r="G238" s="215" t="s">
        <v>813</v>
      </c>
      <c r="H238" s="226">
        <v>653</v>
      </c>
      <c r="I238" s="226">
        <v>669</v>
      </c>
      <c r="J238" s="226">
        <v>649</v>
      </c>
      <c r="K238" s="226">
        <v>0</v>
      </c>
      <c r="L238" s="215" t="s">
        <v>1042</v>
      </c>
      <c r="M238" s="215">
        <v>6037532302</v>
      </c>
    </row>
    <row r="239" spans="1:13" ht="16.2" thickBot="1" x14ac:dyDescent="0.35">
      <c r="A239" s="215"/>
      <c r="B239" s="224">
        <v>43129</v>
      </c>
      <c r="C239" s="226">
        <v>39</v>
      </c>
      <c r="D239" s="226">
        <v>39</v>
      </c>
      <c r="E239" s="226">
        <v>1</v>
      </c>
      <c r="F239" s="225"/>
      <c r="G239" s="215" t="s">
        <v>813</v>
      </c>
      <c r="H239" s="226">
        <v>39</v>
      </c>
      <c r="I239" s="226">
        <v>39</v>
      </c>
      <c r="J239" s="226">
        <v>12</v>
      </c>
      <c r="K239" s="226">
        <v>0</v>
      </c>
      <c r="L239" s="215" t="s">
        <v>1042</v>
      </c>
      <c r="M239" s="215">
        <v>6037532200</v>
      </c>
    </row>
    <row r="240" spans="1:13" ht="409.6" thickBot="1" x14ac:dyDescent="0.35">
      <c r="A240" s="215"/>
      <c r="B240" s="224">
        <v>43130</v>
      </c>
      <c r="C240" s="226">
        <v>1452</v>
      </c>
      <c r="D240" s="226">
        <v>1478</v>
      </c>
      <c r="E240" s="226">
        <v>2</v>
      </c>
      <c r="F240" s="225"/>
      <c r="G240" s="215" t="s">
        <v>813</v>
      </c>
      <c r="H240" s="226">
        <v>2904</v>
      </c>
      <c r="I240" s="226">
        <v>2956</v>
      </c>
      <c r="J240" s="226">
        <v>2516</v>
      </c>
      <c r="K240" s="226">
        <v>2</v>
      </c>
      <c r="L240" s="215" t="s">
        <v>1051</v>
      </c>
      <c r="M240" s="215" t="s">
        <v>1052</v>
      </c>
    </row>
    <row r="241" spans="1:13" ht="16.2" thickBot="1" x14ac:dyDescent="0.35">
      <c r="A241" s="215"/>
      <c r="B241" s="224">
        <v>43153</v>
      </c>
      <c r="C241" s="226">
        <v>454</v>
      </c>
      <c r="D241" s="226">
        <v>461</v>
      </c>
      <c r="E241" s="226">
        <v>1</v>
      </c>
      <c r="F241" s="225"/>
      <c r="G241" s="215" t="s">
        <v>813</v>
      </c>
      <c r="H241" s="226">
        <v>454</v>
      </c>
      <c r="I241" s="226">
        <v>461</v>
      </c>
      <c r="J241" s="226">
        <v>440</v>
      </c>
      <c r="K241" s="226">
        <v>0</v>
      </c>
      <c r="L241" s="215" t="s">
        <v>978</v>
      </c>
      <c r="M241" s="215">
        <v>6037262200</v>
      </c>
    </row>
    <row r="242" spans="1:13" ht="265.8" thickBot="1" x14ac:dyDescent="0.35">
      <c r="A242" s="215"/>
      <c r="B242" s="224">
        <v>43154</v>
      </c>
      <c r="C242" s="226">
        <v>7608</v>
      </c>
      <c r="D242" s="226">
        <v>7813</v>
      </c>
      <c r="E242" s="226">
        <v>2</v>
      </c>
      <c r="F242" s="225"/>
      <c r="G242" s="215" t="s">
        <v>813</v>
      </c>
      <c r="H242" s="226">
        <v>15216</v>
      </c>
      <c r="I242" s="226">
        <v>15625</v>
      </c>
      <c r="J242" s="226">
        <v>14352</v>
      </c>
      <c r="K242" s="226">
        <v>4</v>
      </c>
      <c r="L242" s="215" t="s">
        <v>1053</v>
      </c>
      <c r="M242" s="215" t="s">
        <v>1054</v>
      </c>
    </row>
    <row r="243" spans="1:13" ht="31.8" thickBot="1" x14ac:dyDescent="0.35">
      <c r="A243" s="215"/>
      <c r="B243" s="224">
        <v>43156</v>
      </c>
      <c r="C243" s="226">
        <v>23</v>
      </c>
      <c r="D243" s="226">
        <v>23</v>
      </c>
      <c r="E243" s="226">
        <v>2</v>
      </c>
      <c r="F243" s="225"/>
      <c r="G243" s="215" t="s">
        <v>813</v>
      </c>
      <c r="H243" s="226">
        <v>46</v>
      </c>
      <c r="I243" s="226">
        <v>46</v>
      </c>
      <c r="J243" s="226">
        <v>24</v>
      </c>
      <c r="K243" s="226">
        <v>0</v>
      </c>
      <c r="L243" s="215" t="s">
        <v>1008</v>
      </c>
      <c r="M243" s="215" t="s">
        <v>1055</v>
      </c>
    </row>
    <row r="244" spans="1:13" ht="78.599999999999994" thickBot="1" x14ac:dyDescent="0.35">
      <c r="A244" s="215"/>
      <c r="B244" s="224">
        <v>43157</v>
      </c>
      <c r="C244" s="226">
        <v>1050</v>
      </c>
      <c r="D244" s="226">
        <v>1112</v>
      </c>
      <c r="E244" s="226">
        <v>2</v>
      </c>
      <c r="F244" s="225"/>
      <c r="G244" s="215" t="s">
        <v>813</v>
      </c>
      <c r="H244" s="226">
        <v>2100</v>
      </c>
      <c r="I244" s="226">
        <v>2224</v>
      </c>
      <c r="J244" s="226">
        <v>2080</v>
      </c>
      <c r="K244" s="226">
        <v>0</v>
      </c>
      <c r="L244" s="215" t="s">
        <v>1024</v>
      </c>
      <c r="M244" s="215" t="s">
        <v>1056</v>
      </c>
    </row>
    <row r="245" spans="1:13" ht="31.8" thickBot="1" x14ac:dyDescent="0.35">
      <c r="A245" s="215"/>
      <c r="B245" s="224">
        <v>43158</v>
      </c>
      <c r="C245" s="226">
        <v>2</v>
      </c>
      <c r="D245" s="226">
        <v>4</v>
      </c>
      <c r="E245" s="226">
        <v>1</v>
      </c>
      <c r="F245" s="225"/>
      <c r="G245" s="215" t="s">
        <v>813</v>
      </c>
      <c r="H245" s="226">
        <v>2</v>
      </c>
      <c r="I245" s="226">
        <v>4</v>
      </c>
      <c r="J245" s="226">
        <v>3</v>
      </c>
      <c r="K245" s="226">
        <v>0</v>
      </c>
      <c r="L245" s="215" t="s">
        <v>1016</v>
      </c>
      <c r="M245" s="215" t="s">
        <v>1057</v>
      </c>
    </row>
    <row r="246" spans="1:13" ht="16.2" thickBot="1" x14ac:dyDescent="0.35">
      <c r="A246" s="215"/>
      <c r="B246" s="224">
        <v>43159</v>
      </c>
      <c r="C246" s="226">
        <v>8</v>
      </c>
      <c r="D246" s="226">
        <v>9</v>
      </c>
      <c r="E246" s="226">
        <v>1</v>
      </c>
      <c r="F246" s="225"/>
      <c r="G246" s="215" t="s">
        <v>813</v>
      </c>
      <c r="H246" s="226">
        <v>8</v>
      </c>
      <c r="I246" s="226">
        <v>9</v>
      </c>
      <c r="J246" s="226">
        <v>12</v>
      </c>
      <c r="K246" s="226">
        <v>0</v>
      </c>
      <c r="L246" s="215" t="s">
        <v>1058</v>
      </c>
      <c r="M246" s="215">
        <v>6037261104</v>
      </c>
    </row>
    <row r="247" spans="1:13" ht="16.2" thickBot="1" x14ac:dyDescent="0.35">
      <c r="A247" s="215"/>
      <c r="B247" s="224">
        <v>43160</v>
      </c>
      <c r="C247" s="226">
        <v>5</v>
      </c>
      <c r="D247" s="226">
        <v>5</v>
      </c>
      <c r="E247" s="226">
        <v>1</v>
      </c>
      <c r="F247" s="225"/>
      <c r="G247" s="215" t="s">
        <v>813</v>
      </c>
      <c r="H247" s="226">
        <v>5</v>
      </c>
      <c r="I247" s="226">
        <v>5</v>
      </c>
      <c r="J247" s="226">
        <v>2</v>
      </c>
      <c r="K247" s="226">
        <v>0</v>
      </c>
      <c r="L247" s="215" t="s">
        <v>1059</v>
      </c>
      <c r="M247" s="215">
        <v>6037191302</v>
      </c>
    </row>
    <row r="248" spans="1:13" ht="31.8" thickBot="1" x14ac:dyDescent="0.35">
      <c r="A248" s="215"/>
      <c r="B248" s="224">
        <v>43162</v>
      </c>
      <c r="C248" s="226">
        <v>39</v>
      </c>
      <c r="D248" s="226">
        <v>67</v>
      </c>
      <c r="E248" s="226">
        <v>2</v>
      </c>
      <c r="F248" s="225"/>
      <c r="G248" s="215" t="s">
        <v>813</v>
      </c>
      <c r="H248" s="226">
        <v>77</v>
      </c>
      <c r="I248" s="226">
        <v>133</v>
      </c>
      <c r="J248" s="226">
        <v>62</v>
      </c>
      <c r="K248" s="226">
        <v>0</v>
      </c>
      <c r="L248" s="215" t="s">
        <v>1042</v>
      </c>
      <c r="M248" s="215" t="s">
        <v>1060</v>
      </c>
    </row>
    <row r="249" spans="1:13" ht="16.2" thickBot="1" x14ac:dyDescent="0.35">
      <c r="A249" s="215"/>
      <c r="B249" s="224">
        <v>44001</v>
      </c>
      <c r="C249" s="226">
        <v>455</v>
      </c>
      <c r="D249" s="226">
        <v>455</v>
      </c>
      <c r="E249" s="226">
        <v>1</v>
      </c>
      <c r="F249" s="225"/>
      <c r="G249" s="215" t="s">
        <v>813</v>
      </c>
      <c r="H249" s="226">
        <v>455</v>
      </c>
      <c r="I249" s="226">
        <v>455</v>
      </c>
      <c r="J249" s="226">
        <v>439</v>
      </c>
      <c r="K249" s="226">
        <v>0</v>
      </c>
      <c r="L249" s="215" t="s">
        <v>1061</v>
      </c>
      <c r="M249" s="215">
        <v>6037910815</v>
      </c>
    </row>
    <row r="250" spans="1:13" ht="16.2" thickBot="1" x14ac:dyDescent="0.35">
      <c r="A250" s="215"/>
      <c r="B250" s="224">
        <v>44002</v>
      </c>
      <c r="C250" s="226">
        <v>83</v>
      </c>
      <c r="D250" s="226">
        <v>83</v>
      </c>
      <c r="E250" s="226">
        <v>1</v>
      </c>
      <c r="F250" s="225"/>
      <c r="G250" s="215" t="s">
        <v>813</v>
      </c>
      <c r="H250" s="226">
        <v>83</v>
      </c>
      <c r="I250" s="226">
        <v>83</v>
      </c>
      <c r="J250" s="226">
        <v>82</v>
      </c>
      <c r="K250" s="226">
        <v>0</v>
      </c>
      <c r="L250" s="215" t="s">
        <v>1061</v>
      </c>
      <c r="M250" s="215">
        <v>6037910815</v>
      </c>
    </row>
    <row r="251" spans="1:13" ht="16.2" thickBot="1" x14ac:dyDescent="0.35">
      <c r="A251" s="215"/>
      <c r="B251" s="224">
        <v>44003</v>
      </c>
      <c r="C251" s="226">
        <v>40</v>
      </c>
      <c r="D251" s="226">
        <v>40</v>
      </c>
      <c r="E251" s="226">
        <v>1</v>
      </c>
      <c r="F251" s="225"/>
      <c r="G251" s="215" t="s">
        <v>813</v>
      </c>
      <c r="H251" s="226">
        <v>40</v>
      </c>
      <c r="I251" s="226">
        <v>40</v>
      </c>
      <c r="J251" s="226">
        <v>39</v>
      </c>
      <c r="K251" s="226">
        <v>0</v>
      </c>
      <c r="L251" s="215" t="s">
        <v>1061</v>
      </c>
      <c r="M251" s="215">
        <v>6037910815</v>
      </c>
    </row>
    <row r="252" spans="1:13" ht="31.8" thickBot="1" x14ac:dyDescent="0.35">
      <c r="A252" s="215"/>
      <c r="B252" s="224">
        <v>44004</v>
      </c>
      <c r="C252" s="226">
        <v>185</v>
      </c>
      <c r="D252" s="226">
        <v>186</v>
      </c>
      <c r="E252" s="226">
        <v>1</v>
      </c>
      <c r="F252" s="225"/>
      <c r="G252" s="215" t="s">
        <v>813</v>
      </c>
      <c r="H252" s="226">
        <v>185</v>
      </c>
      <c r="I252" s="226">
        <v>186</v>
      </c>
      <c r="J252" s="226">
        <v>158</v>
      </c>
      <c r="K252" s="226">
        <v>0</v>
      </c>
      <c r="L252" s="215" t="s">
        <v>1061</v>
      </c>
      <c r="M252" s="215" t="s">
        <v>1062</v>
      </c>
    </row>
    <row r="253" spans="1:13" ht="16.2" thickBot="1" x14ac:dyDescent="0.35">
      <c r="A253" s="215"/>
      <c r="B253" s="224">
        <v>44005</v>
      </c>
      <c r="C253" s="226">
        <v>4</v>
      </c>
      <c r="D253" s="226">
        <v>4</v>
      </c>
      <c r="E253" s="226">
        <v>1</v>
      </c>
      <c r="F253" s="225"/>
      <c r="G253" s="215" t="s">
        <v>813</v>
      </c>
      <c r="H253" s="226">
        <v>4</v>
      </c>
      <c r="I253" s="226">
        <v>4</v>
      </c>
      <c r="J253" s="226">
        <v>4</v>
      </c>
      <c r="K253" s="226">
        <v>0</v>
      </c>
      <c r="L253" s="215" t="s">
        <v>1063</v>
      </c>
      <c r="M253" s="215">
        <v>6037910804</v>
      </c>
    </row>
    <row r="254" spans="1:13" ht="31.8" thickBot="1" x14ac:dyDescent="0.35">
      <c r="A254" s="215"/>
      <c r="B254" s="224">
        <v>44006</v>
      </c>
      <c r="C254" s="226">
        <v>659</v>
      </c>
      <c r="D254" s="226">
        <v>659</v>
      </c>
      <c r="E254" s="226">
        <v>1</v>
      </c>
      <c r="F254" s="225"/>
      <c r="G254" s="215" t="s">
        <v>813</v>
      </c>
      <c r="H254" s="226">
        <v>659</v>
      </c>
      <c r="I254" s="226">
        <v>659</v>
      </c>
      <c r="J254" s="226">
        <v>605</v>
      </c>
      <c r="K254" s="226">
        <v>0</v>
      </c>
      <c r="L254" s="215" t="s">
        <v>1061</v>
      </c>
      <c r="M254" s="215" t="s">
        <v>1062</v>
      </c>
    </row>
    <row r="255" spans="1:13" ht="16.2" thickBot="1" x14ac:dyDescent="0.35">
      <c r="A255" s="215"/>
      <c r="B255" s="224">
        <v>44007</v>
      </c>
      <c r="C255" s="226">
        <v>20</v>
      </c>
      <c r="D255" s="226">
        <v>20</v>
      </c>
      <c r="E255" s="226">
        <v>1</v>
      </c>
      <c r="F255" s="225"/>
      <c r="G255" s="215" t="s">
        <v>813</v>
      </c>
      <c r="H255" s="226">
        <v>20</v>
      </c>
      <c r="I255" s="226">
        <v>20</v>
      </c>
      <c r="J255" s="226">
        <v>19</v>
      </c>
      <c r="K255" s="226">
        <v>0</v>
      </c>
      <c r="L255" s="215" t="s">
        <v>1064</v>
      </c>
      <c r="M255" s="215">
        <v>6037910804</v>
      </c>
    </row>
    <row r="256" spans="1:13" ht="16.2" thickBot="1" x14ac:dyDescent="0.35">
      <c r="A256" s="215"/>
      <c r="B256" s="224">
        <v>44008</v>
      </c>
      <c r="C256" s="226">
        <v>222</v>
      </c>
      <c r="D256" s="226">
        <v>257</v>
      </c>
      <c r="E256" s="226">
        <v>1</v>
      </c>
      <c r="F256" s="225"/>
      <c r="G256" s="215" t="s">
        <v>813</v>
      </c>
      <c r="H256" s="226">
        <v>222</v>
      </c>
      <c r="I256" s="226">
        <v>257</v>
      </c>
      <c r="J256" s="226">
        <v>207</v>
      </c>
      <c r="K256" s="226">
        <v>0</v>
      </c>
      <c r="L256" s="215" t="s">
        <v>1065</v>
      </c>
      <c r="M256" s="215">
        <v>6107004302</v>
      </c>
    </row>
    <row r="257" spans="1:13" ht="16.2" thickBot="1" x14ac:dyDescent="0.35">
      <c r="A257" s="215"/>
      <c r="B257" s="224">
        <v>44009</v>
      </c>
      <c r="C257" s="226">
        <v>1510</v>
      </c>
      <c r="D257" s="226">
        <v>1512</v>
      </c>
      <c r="E257" s="226">
        <v>1</v>
      </c>
      <c r="F257" s="225"/>
      <c r="G257" s="215" t="s">
        <v>813</v>
      </c>
      <c r="H257" s="226">
        <v>1510</v>
      </c>
      <c r="I257" s="226">
        <v>1512</v>
      </c>
      <c r="J257" s="226">
        <v>1424</v>
      </c>
      <c r="K257" s="226">
        <v>0</v>
      </c>
      <c r="L257" s="215" t="s">
        <v>1065</v>
      </c>
      <c r="M257" s="215">
        <v>6031000500</v>
      </c>
    </row>
    <row r="258" spans="1:13" ht="78.599999999999994" thickBot="1" x14ac:dyDescent="0.35">
      <c r="A258" s="215"/>
      <c r="B258" s="224">
        <v>44010</v>
      </c>
      <c r="C258" s="226">
        <v>1741</v>
      </c>
      <c r="D258" s="226">
        <v>1798</v>
      </c>
      <c r="E258" s="226">
        <v>3</v>
      </c>
      <c r="F258" s="225"/>
      <c r="G258" s="215" t="s">
        <v>813</v>
      </c>
      <c r="H258" s="226">
        <v>5224</v>
      </c>
      <c r="I258" s="226">
        <v>5393</v>
      </c>
      <c r="J258" s="226">
        <v>4909</v>
      </c>
      <c r="K258" s="226">
        <v>2</v>
      </c>
      <c r="L258" s="215" t="s">
        <v>1066</v>
      </c>
      <c r="M258" s="215" t="s">
        <v>1067</v>
      </c>
    </row>
    <row r="259" spans="1:13" ht="156.6" thickBot="1" x14ac:dyDescent="0.35">
      <c r="A259" s="215"/>
      <c r="B259" s="224">
        <v>44011</v>
      </c>
      <c r="C259" s="226">
        <v>2065</v>
      </c>
      <c r="D259" s="226">
        <v>2122</v>
      </c>
      <c r="E259" s="226">
        <v>6</v>
      </c>
      <c r="F259" s="225"/>
      <c r="G259" s="215" t="s">
        <v>813</v>
      </c>
      <c r="H259" s="226">
        <v>12387</v>
      </c>
      <c r="I259" s="226">
        <v>12729</v>
      </c>
      <c r="J259" s="226">
        <v>11680</v>
      </c>
      <c r="K259" s="226">
        <v>3</v>
      </c>
      <c r="L259" s="215" t="s">
        <v>1068</v>
      </c>
      <c r="M259" s="215" t="s">
        <v>1069</v>
      </c>
    </row>
    <row r="260" spans="1:13" ht="16.2" thickBot="1" x14ac:dyDescent="0.35">
      <c r="A260" s="215"/>
      <c r="B260" s="224">
        <v>44012</v>
      </c>
      <c r="C260" s="226">
        <v>941</v>
      </c>
      <c r="D260" s="226">
        <v>1078</v>
      </c>
      <c r="E260" s="226">
        <v>1</v>
      </c>
      <c r="F260" s="225"/>
      <c r="G260" s="215" t="s">
        <v>813</v>
      </c>
      <c r="H260" s="226">
        <v>941</v>
      </c>
      <c r="I260" s="226">
        <v>1078</v>
      </c>
      <c r="J260" s="226">
        <v>979</v>
      </c>
      <c r="K260" s="226">
        <v>0</v>
      </c>
      <c r="L260" s="215" t="s">
        <v>1070</v>
      </c>
      <c r="M260" s="215">
        <v>6079011600</v>
      </c>
    </row>
    <row r="261" spans="1:13" ht="409.6" thickBot="1" x14ac:dyDescent="0.35">
      <c r="A261" s="215"/>
      <c r="B261" s="224">
        <v>44013</v>
      </c>
      <c r="C261" s="226">
        <v>4478</v>
      </c>
      <c r="D261" s="226">
        <v>4581</v>
      </c>
      <c r="E261" s="226">
        <v>10</v>
      </c>
      <c r="F261" s="225"/>
      <c r="G261" s="215" t="s">
        <v>813</v>
      </c>
      <c r="H261" s="226">
        <v>44776</v>
      </c>
      <c r="I261" s="226">
        <v>45809</v>
      </c>
      <c r="J261" s="226">
        <v>43615</v>
      </c>
      <c r="K261" s="226">
        <v>3</v>
      </c>
      <c r="L261" s="215" t="s">
        <v>1066</v>
      </c>
      <c r="M261" s="215" t="s">
        <v>1071</v>
      </c>
    </row>
    <row r="262" spans="1:13" ht="63" thickBot="1" x14ac:dyDescent="0.35">
      <c r="A262" s="215"/>
      <c r="B262" s="224">
        <v>44014</v>
      </c>
      <c r="C262" s="226">
        <v>3014</v>
      </c>
      <c r="D262" s="226">
        <v>3051</v>
      </c>
      <c r="E262" s="226">
        <v>2</v>
      </c>
      <c r="F262" s="225"/>
      <c r="G262" s="215" t="s">
        <v>813</v>
      </c>
      <c r="H262" s="226">
        <v>6027</v>
      </c>
      <c r="I262" s="226">
        <v>6101</v>
      </c>
      <c r="J262" s="226">
        <v>5792</v>
      </c>
      <c r="K262" s="226">
        <v>0</v>
      </c>
      <c r="L262" s="215" t="s">
        <v>1070</v>
      </c>
      <c r="M262" s="215" t="s">
        <v>1072</v>
      </c>
    </row>
    <row r="263" spans="1:13" ht="31.8" thickBot="1" x14ac:dyDescent="0.35">
      <c r="A263" s="215"/>
      <c r="B263" s="224">
        <v>44015</v>
      </c>
      <c r="C263" s="226">
        <v>1091</v>
      </c>
      <c r="D263" s="226">
        <v>1192</v>
      </c>
      <c r="E263" s="226">
        <v>1</v>
      </c>
      <c r="F263" s="225"/>
      <c r="G263" s="215" t="s">
        <v>813</v>
      </c>
      <c r="H263" s="226">
        <v>1091</v>
      </c>
      <c r="I263" s="226">
        <v>1192</v>
      </c>
      <c r="J263" s="226">
        <v>1099</v>
      </c>
      <c r="K263" s="226">
        <v>0</v>
      </c>
      <c r="L263" s="215" t="s">
        <v>1073</v>
      </c>
      <c r="M263" s="215" t="s">
        <v>1074</v>
      </c>
    </row>
    <row r="264" spans="1:13" ht="16.2" thickBot="1" x14ac:dyDescent="0.35">
      <c r="A264" s="215"/>
      <c r="B264" s="224">
        <v>44016</v>
      </c>
      <c r="C264" s="226">
        <v>995</v>
      </c>
      <c r="D264" s="226">
        <v>997</v>
      </c>
      <c r="E264" s="226">
        <v>2</v>
      </c>
      <c r="F264" s="225" t="s">
        <v>1075</v>
      </c>
      <c r="G264" s="215" t="s">
        <v>813</v>
      </c>
      <c r="H264" s="226">
        <v>1989</v>
      </c>
      <c r="I264" s="226">
        <v>1994</v>
      </c>
      <c r="J264" s="226">
        <v>1830</v>
      </c>
      <c r="K264" s="226">
        <v>0</v>
      </c>
      <c r="L264" s="215" t="s">
        <v>1076</v>
      </c>
      <c r="M264" s="215">
        <v>6083001912</v>
      </c>
    </row>
    <row r="265" spans="1:13" ht="31.8" thickBot="1" x14ac:dyDescent="0.35">
      <c r="A265" s="215"/>
      <c r="B265" s="224">
        <v>44017</v>
      </c>
      <c r="C265" s="226">
        <v>553</v>
      </c>
      <c r="D265" s="226">
        <v>556</v>
      </c>
      <c r="E265" s="226">
        <v>1</v>
      </c>
      <c r="F265" s="225"/>
      <c r="G265" s="215" t="s">
        <v>813</v>
      </c>
      <c r="H265" s="226">
        <v>553</v>
      </c>
      <c r="I265" s="226">
        <v>556</v>
      </c>
      <c r="J265" s="226">
        <v>461</v>
      </c>
      <c r="K265" s="226">
        <v>0</v>
      </c>
      <c r="L265" s="215" t="s">
        <v>1073</v>
      </c>
      <c r="M265" s="215" t="s">
        <v>1077</v>
      </c>
    </row>
    <row r="266" spans="1:13" ht="16.2" thickBot="1" x14ac:dyDescent="0.35">
      <c r="A266" s="215"/>
      <c r="B266" s="224">
        <v>44018</v>
      </c>
      <c r="C266" s="226">
        <v>1008</v>
      </c>
      <c r="D266" s="226">
        <v>1008</v>
      </c>
      <c r="E266" s="226">
        <v>1</v>
      </c>
      <c r="F266" s="225"/>
      <c r="G266" s="215" t="s">
        <v>813</v>
      </c>
      <c r="H266" s="226">
        <v>1008</v>
      </c>
      <c r="I266" s="226">
        <v>1008</v>
      </c>
      <c r="J266" s="226">
        <v>982</v>
      </c>
      <c r="K266" s="226">
        <v>0</v>
      </c>
      <c r="L266" s="215" t="s">
        <v>1073</v>
      </c>
      <c r="M266" s="215">
        <v>6111005602</v>
      </c>
    </row>
    <row r="267" spans="1:13" ht="16.2" thickBot="1" x14ac:dyDescent="0.35">
      <c r="A267" s="215"/>
      <c r="B267" s="224">
        <v>44025</v>
      </c>
      <c r="C267" s="226">
        <v>52</v>
      </c>
      <c r="D267" s="226">
        <v>52</v>
      </c>
      <c r="E267" s="226">
        <v>1</v>
      </c>
      <c r="F267" s="225"/>
      <c r="G267" s="215" t="s">
        <v>813</v>
      </c>
      <c r="H267" s="226">
        <v>52</v>
      </c>
      <c r="I267" s="226">
        <v>52</v>
      </c>
      <c r="J267" s="226">
        <v>31</v>
      </c>
      <c r="K267" s="226">
        <v>0</v>
      </c>
      <c r="L267" s="215" t="s">
        <v>1073</v>
      </c>
      <c r="M267" s="215">
        <v>6111005602</v>
      </c>
    </row>
    <row r="268" spans="1:13" ht="31.8" thickBot="1" x14ac:dyDescent="0.35">
      <c r="A268" s="215"/>
      <c r="B268" s="224">
        <v>44027</v>
      </c>
      <c r="C268" s="226">
        <v>12</v>
      </c>
      <c r="D268" s="226">
        <v>12</v>
      </c>
      <c r="E268" s="226">
        <v>2</v>
      </c>
      <c r="F268" s="225"/>
      <c r="G268" s="215" t="s">
        <v>813</v>
      </c>
      <c r="H268" s="226">
        <v>23</v>
      </c>
      <c r="I268" s="226">
        <v>23</v>
      </c>
      <c r="J268" s="226">
        <v>12</v>
      </c>
      <c r="K268" s="226">
        <v>2</v>
      </c>
      <c r="L268" s="215" t="s">
        <v>1073</v>
      </c>
      <c r="M268" s="215" t="s">
        <v>1078</v>
      </c>
    </row>
    <row r="269" spans="1:13" ht="47.4" thickBot="1" x14ac:dyDescent="0.35">
      <c r="A269" s="215"/>
      <c r="B269" s="224">
        <v>44028</v>
      </c>
      <c r="C269" s="226">
        <v>2239</v>
      </c>
      <c r="D269" s="226">
        <v>2273</v>
      </c>
      <c r="E269" s="226">
        <v>2</v>
      </c>
      <c r="F269" s="225"/>
      <c r="G269" s="215" t="s">
        <v>813</v>
      </c>
      <c r="H269" s="226">
        <v>4477</v>
      </c>
      <c r="I269" s="226">
        <v>4546</v>
      </c>
      <c r="J269" s="226">
        <v>4173</v>
      </c>
      <c r="K269" s="226">
        <v>0</v>
      </c>
      <c r="L269" s="215" t="s">
        <v>1070</v>
      </c>
      <c r="M269" s="215" t="s">
        <v>1079</v>
      </c>
    </row>
    <row r="270" spans="1:13" ht="409.6" thickBot="1" x14ac:dyDescent="0.35">
      <c r="A270" s="215"/>
      <c r="B270" s="224">
        <v>44030</v>
      </c>
      <c r="C270" s="226">
        <v>5997</v>
      </c>
      <c r="D270" s="226">
        <v>6241</v>
      </c>
      <c r="E270" s="226">
        <v>10</v>
      </c>
      <c r="F270" s="225"/>
      <c r="G270" s="215" t="s">
        <v>813</v>
      </c>
      <c r="H270" s="226">
        <v>59971</v>
      </c>
      <c r="I270" s="226">
        <v>62407</v>
      </c>
      <c r="J270" s="226">
        <v>57857</v>
      </c>
      <c r="K270" s="226">
        <v>5</v>
      </c>
      <c r="L270" s="215" t="s">
        <v>1080</v>
      </c>
      <c r="M270" s="215" t="s">
        <v>1081</v>
      </c>
    </row>
    <row r="271" spans="1:13" ht="47.4" thickBot="1" x14ac:dyDescent="0.35">
      <c r="A271" s="215"/>
      <c r="B271" s="224">
        <v>44033</v>
      </c>
      <c r="C271" s="226">
        <v>1064</v>
      </c>
      <c r="D271" s="226">
        <v>1090</v>
      </c>
      <c r="E271" s="226">
        <v>3</v>
      </c>
      <c r="F271" s="225"/>
      <c r="G271" s="215" t="s">
        <v>813</v>
      </c>
      <c r="H271" s="226">
        <v>3192</v>
      </c>
      <c r="I271" s="226">
        <v>3270</v>
      </c>
      <c r="J271" s="226">
        <v>2943</v>
      </c>
      <c r="K271" s="226">
        <v>0</v>
      </c>
      <c r="L271" s="215" t="s">
        <v>1065</v>
      </c>
      <c r="M271" s="215" t="s">
        <v>1082</v>
      </c>
    </row>
    <row r="272" spans="1:13" ht="47.4" thickBot="1" x14ac:dyDescent="0.35">
      <c r="A272" s="215"/>
      <c r="B272" s="224">
        <v>44034</v>
      </c>
      <c r="C272" s="226">
        <v>238</v>
      </c>
      <c r="D272" s="226">
        <v>238</v>
      </c>
      <c r="E272" s="226">
        <v>1</v>
      </c>
      <c r="F272" s="225"/>
      <c r="G272" s="215" t="s">
        <v>813</v>
      </c>
      <c r="H272" s="226">
        <v>238</v>
      </c>
      <c r="I272" s="226">
        <v>238</v>
      </c>
      <c r="J272" s="226">
        <v>224</v>
      </c>
      <c r="K272" s="226">
        <v>0</v>
      </c>
      <c r="L272" s="215" t="s">
        <v>1065</v>
      </c>
      <c r="M272" s="215" t="s">
        <v>1083</v>
      </c>
    </row>
    <row r="273" spans="1:13" ht="16.2" thickBot="1" x14ac:dyDescent="0.35">
      <c r="A273" s="215"/>
      <c r="B273" s="224">
        <v>44035</v>
      </c>
      <c r="C273" s="226">
        <v>147</v>
      </c>
      <c r="D273" s="226">
        <v>147</v>
      </c>
      <c r="E273" s="226">
        <v>1</v>
      </c>
      <c r="F273" s="225" t="s">
        <v>1084</v>
      </c>
      <c r="G273" s="215" t="s">
        <v>813</v>
      </c>
      <c r="H273" s="226">
        <v>147</v>
      </c>
      <c r="I273" s="226">
        <v>147</v>
      </c>
      <c r="J273" s="226">
        <v>115</v>
      </c>
      <c r="K273" s="226">
        <v>0</v>
      </c>
      <c r="L273" s="215" t="s">
        <v>1065</v>
      </c>
      <c r="M273" s="215">
        <v>6107001602</v>
      </c>
    </row>
    <row r="274" spans="1:13" ht="16.2" thickBot="1" x14ac:dyDescent="0.35">
      <c r="A274" s="215"/>
      <c r="B274" s="224">
        <v>44036</v>
      </c>
      <c r="C274" s="226">
        <v>28</v>
      </c>
      <c r="D274" s="226">
        <v>28</v>
      </c>
      <c r="E274" s="226">
        <v>1</v>
      </c>
      <c r="F274" s="225"/>
      <c r="G274" s="215" t="s">
        <v>813</v>
      </c>
      <c r="H274" s="226">
        <v>28</v>
      </c>
      <c r="I274" s="226">
        <v>28</v>
      </c>
      <c r="J274" s="226">
        <v>17</v>
      </c>
      <c r="K274" s="226">
        <v>0</v>
      </c>
      <c r="L274" s="215" t="s">
        <v>1073</v>
      </c>
      <c r="M274" s="215">
        <v>6111000304</v>
      </c>
    </row>
    <row r="275" spans="1:13" ht="47.4" thickBot="1" x14ac:dyDescent="0.35">
      <c r="A275" s="215"/>
      <c r="B275" s="224">
        <v>44037</v>
      </c>
      <c r="C275" s="226">
        <v>5079</v>
      </c>
      <c r="D275" s="226">
        <v>5093</v>
      </c>
      <c r="E275" s="226">
        <v>1</v>
      </c>
      <c r="F275" s="225"/>
      <c r="G275" s="215" t="s">
        <v>813</v>
      </c>
      <c r="H275" s="226">
        <v>5079</v>
      </c>
      <c r="I275" s="226">
        <v>5093</v>
      </c>
      <c r="J275" s="226">
        <v>4739</v>
      </c>
      <c r="K275" s="226">
        <v>0</v>
      </c>
      <c r="L275" s="215" t="s">
        <v>1073</v>
      </c>
      <c r="M275" s="215" t="s">
        <v>1085</v>
      </c>
    </row>
    <row r="276" spans="1:13" ht="31.8" thickBot="1" x14ac:dyDescent="0.35">
      <c r="A276" s="215"/>
      <c r="B276" s="224">
        <v>44038</v>
      </c>
      <c r="C276" s="226">
        <v>10</v>
      </c>
      <c r="D276" s="226">
        <v>10</v>
      </c>
      <c r="E276" s="226">
        <v>1</v>
      </c>
      <c r="F276" s="225"/>
      <c r="G276" s="215" t="s">
        <v>813</v>
      </c>
      <c r="H276" s="226">
        <v>10</v>
      </c>
      <c r="I276" s="226">
        <v>10</v>
      </c>
      <c r="J276" s="226">
        <v>3</v>
      </c>
      <c r="K276" s="226">
        <v>0</v>
      </c>
      <c r="L276" s="215" t="s">
        <v>1073</v>
      </c>
      <c r="M276" s="215" t="s">
        <v>1086</v>
      </c>
    </row>
    <row r="277" spans="1:13" ht="409.6" thickBot="1" x14ac:dyDescent="0.35">
      <c r="A277" s="215"/>
      <c r="B277" s="224">
        <v>44039</v>
      </c>
      <c r="C277" s="226">
        <v>5408</v>
      </c>
      <c r="D277" s="226">
        <v>5606</v>
      </c>
      <c r="E277" s="226">
        <v>12</v>
      </c>
      <c r="F277" s="225" t="s">
        <v>1087</v>
      </c>
      <c r="G277" s="215" t="s">
        <v>813</v>
      </c>
      <c r="H277" s="226">
        <v>64890</v>
      </c>
      <c r="I277" s="226">
        <v>67277</v>
      </c>
      <c r="J277" s="226">
        <v>62590</v>
      </c>
      <c r="K277" s="226">
        <v>4</v>
      </c>
      <c r="L277" s="215" t="s">
        <v>1088</v>
      </c>
      <c r="M277" s="215" t="s">
        <v>1089</v>
      </c>
    </row>
    <row r="278" spans="1:13" ht="78.599999999999994" thickBot="1" x14ac:dyDescent="0.35">
      <c r="A278" s="215"/>
      <c r="B278" s="224">
        <v>44041</v>
      </c>
      <c r="C278" s="226">
        <v>1841</v>
      </c>
      <c r="D278" s="226">
        <v>1846</v>
      </c>
      <c r="E278" s="226">
        <v>2</v>
      </c>
      <c r="F278" s="225"/>
      <c r="G278" s="215" t="s">
        <v>813</v>
      </c>
      <c r="H278" s="226">
        <v>3681</v>
      </c>
      <c r="I278" s="226">
        <v>3691</v>
      </c>
      <c r="J278" s="226">
        <v>3518</v>
      </c>
      <c r="K278" s="226">
        <v>0</v>
      </c>
      <c r="L278" s="215" t="s">
        <v>1061</v>
      </c>
      <c r="M278" s="215" t="s">
        <v>1090</v>
      </c>
    </row>
    <row r="279" spans="1:13" ht="47.4" thickBot="1" x14ac:dyDescent="0.35">
      <c r="A279" s="215"/>
      <c r="B279" s="224">
        <v>44042</v>
      </c>
      <c r="C279" s="226">
        <v>821</v>
      </c>
      <c r="D279" s="226">
        <v>821</v>
      </c>
      <c r="E279" s="226">
        <v>1</v>
      </c>
      <c r="F279" s="225"/>
      <c r="G279" s="215" t="s">
        <v>813</v>
      </c>
      <c r="H279" s="226">
        <v>821</v>
      </c>
      <c r="I279" s="226">
        <v>821</v>
      </c>
      <c r="J279" s="226">
        <v>599</v>
      </c>
      <c r="K279" s="226">
        <v>0</v>
      </c>
      <c r="L279" s="215" t="s">
        <v>1061</v>
      </c>
      <c r="M279" s="215" t="s">
        <v>1091</v>
      </c>
    </row>
    <row r="280" spans="1:13" ht="31.8" thickBot="1" x14ac:dyDescent="0.35">
      <c r="A280" s="215"/>
      <c r="B280" s="224">
        <v>44043</v>
      </c>
      <c r="C280" s="226">
        <v>99</v>
      </c>
      <c r="D280" s="226">
        <v>99</v>
      </c>
      <c r="E280" s="226">
        <v>1</v>
      </c>
      <c r="F280" s="225"/>
      <c r="G280" s="215" t="s">
        <v>813</v>
      </c>
      <c r="H280" s="226">
        <v>99</v>
      </c>
      <c r="I280" s="226">
        <v>99</v>
      </c>
      <c r="J280" s="226">
        <v>54</v>
      </c>
      <c r="K280" s="226">
        <v>1</v>
      </c>
      <c r="L280" s="215" t="s">
        <v>1061</v>
      </c>
      <c r="M280" s="215" t="s">
        <v>1092</v>
      </c>
    </row>
    <row r="281" spans="1:13" ht="16.2" thickBot="1" x14ac:dyDescent="0.35">
      <c r="A281" s="215"/>
      <c r="B281" s="224">
        <v>44044</v>
      </c>
      <c r="C281" s="226">
        <v>178</v>
      </c>
      <c r="D281" s="226">
        <v>178</v>
      </c>
      <c r="E281" s="226">
        <v>1</v>
      </c>
      <c r="F281" s="225"/>
      <c r="G281" s="215" t="s">
        <v>813</v>
      </c>
      <c r="H281" s="226">
        <v>178</v>
      </c>
      <c r="I281" s="226">
        <v>178</v>
      </c>
      <c r="J281" s="226">
        <v>110</v>
      </c>
      <c r="K281" s="226">
        <v>1</v>
      </c>
      <c r="L281" s="215" t="s">
        <v>1061</v>
      </c>
      <c r="M281" s="215">
        <v>6037900504</v>
      </c>
    </row>
    <row r="282" spans="1:13" ht="328.2" thickBot="1" x14ac:dyDescent="0.35">
      <c r="A282" s="215"/>
      <c r="B282" s="224">
        <v>44045</v>
      </c>
      <c r="C282" s="226">
        <v>3256</v>
      </c>
      <c r="D282" s="226">
        <v>3302</v>
      </c>
      <c r="E282" s="226">
        <v>8</v>
      </c>
      <c r="F282" s="225" t="s">
        <v>1093</v>
      </c>
      <c r="G282" s="215" t="s">
        <v>813</v>
      </c>
      <c r="H282" s="226">
        <v>26051</v>
      </c>
      <c r="I282" s="226">
        <v>26413</v>
      </c>
      <c r="J282" s="226">
        <v>23253</v>
      </c>
      <c r="K282" s="226">
        <v>3</v>
      </c>
      <c r="L282" s="215" t="s">
        <v>1061</v>
      </c>
      <c r="M282" s="215" t="s">
        <v>1094</v>
      </c>
    </row>
    <row r="283" spans="1:13" ht="16.2" thickBot="1" x14ac:dyDescent="0.35">
      <c r="A283" s="215"/>
      <c r="B283" s="224">
        <v>44046</v>
      </c>
      <c r="C283" s="226">
        <v>11</v>
      </c>
      <c r="D283" s="226">
        <v>11</v>
      </c>
      <c r="E283" s="226">
        <v>1</v>
      </c>
      <c r="F283" s="225"/>
      <c r="G283" s="215" t="s">
        <v>813</v>
      </c>
      <c r="H283" s="226">
        <v>11</v>
      </c>
      <c r="I283" s="226">
        <v>11</v>
      </c>
      <c r="J283" s="226">
        <v>10</v>
      </c>
      <c r="K283" s="226">
        <v>0</v>
      </c>
      <c r="L283" s="215" t="s">
        <v>1061</v>
      </c>
      <c r="M283" s="215">
        <v>6037901300</v>
      </c>
    </row>
    <row r="284" spans="1:13" ht="16.2" thickBot="1" x14ac:dyDescent="0.35">
      <c r="A284" s="215"/>
      <c r="B284" s="224">
        <v>44047</v>
      </c>
      <c r="C284" s="226">
        <v>4</v>
      </c>
      <c r="D284" s="226">
        <v>4</v>
      </c>
      <c r="E284" s="226">
        <v>1</v>
      </c>
      <c r="F284" s="225"/>
      <c r="G284" s="215" t="s">
        <v>813</v>
      </c>
      <c r="H284" s="226">
        <v>4</v>
      </c>
      <c r="I284" s="226">
        <v>4</v>
      </c>
      <c r="J284" s="226">
        <v>4</v>
      </c>
      <c r="K284" s="226">
        <v>0</v>
      </c>
      <c r="L284" s="215" t="s">
        <v>1061</v>
      </c>
      <c r="M284" s="215">
        <v>6037901300</v>
      </c>
    </row>
    <row r="285" spans="1:13" ht="16.2" thickBot="1" x14ac:dyDescent="0.35">
      <c r="A285" s="215"/>
      <c r="B285" s="224">
        <v>44048</v>
      </c>
      <c r="C285" s="226">
        <v>34</v>
      </c>
      <c r="D285" s="226">
        <v>34</v>
      </c>
      <c r="E285" s="226">
        <v>1</v>
      </c>
      <c r="F285" s="225"/>
      <c r="G285" s="215" t="s">
        <v>813</v>
      </c>
      <c r="H285" s="226">
        <v>34</v>
      </c>
      <c r="I285" s="226">
        <v>34</v>
      </c>
      <c r="J285" s="226">
        <v>25</v>
      </c>
      <c r="K285" s="226">
        <v>0</v>
      </c>
      <c r="L285" s="215" t="s">
        <v>1061</v>
      </c>
      <c r="M285" s="215">
        <v>6037901300</v>
      </c>
    </row>
    <row r="286" spans="1:13" ht="16.2" thickBot="1" x14ac:dyDescent="0.35">
      <c r="A286" s="215"/>
      <c r="B286" s="224">
        <v>44049</v>
      </c>
      <c r="C286" s="226">
        <v>7</v>
      </c>
      <c r="D286" s="226">
        <v>7</v>
      </c>
      <c r="E286" s="226">
        <v>1</v>
      </c>
      <c r="F286" s="225"/>
      <c r="G286" s="215" t="s">
        <v>813</v>
      </c>
      <c r="H286" s="226">
        <v>7</v>
      </c>
      <c r="I286" s="226">
        <v>7</v>
      </c>
      <c r="J286" s="226">
        <v>3</v>
      </c>
      <c r="K286" s="226">
        <v>0</v>
      </c>
      <c r="L286" s="215" t="s">
        <v>1061</v>
      </c>
      <c r="M286" s="215">
        <v>6037901300</v>
      </c>
    </row>
    <row r="287" spans="1:13" ht="31.8" thickBot="1" x14ac:dyDescent="0.35">
      <c r="A287" s="215"/>
      <c r="B287" s="224">
        <v>44051</v>
      </c>
      <c r="C287" s="226">
        <v>1088</v>
      </c>
      <c r="D287" s="226">
        <v>1088</v>
      </c>
      <c r="E287" s="226">
        <v>2</v>
      </c>
      <c r="F287" s="225"/>
      <c r="G287" s="215" t="s">
        <v>813</v>
      </c>
      <c r="H287" s="226">
        <v>2175</v>
      </c>
      <c r="I287" s="226">
        <v>2175</v>
      </c>
      <c r="J287" s="226">
        <v>2029</v>
      </c>
      <c r="K287" s="226">
        <v>0</v>
      </c>
      <c r="L287" s="215" t="s">
        <v>1061</v>
      </c>
      <c r="M287" s="215" t="s">
        <v>1095</v>
      </c>
    </row>
    <row r="288" spans="1:13" ht="31.8" thickBot="1" x14ac:dyDescent="0.35">
      <c r="A288" s="215"/>
      <c r="B288" s="224">
        <v>44052</v>
      </c>
      <c r="C288" s="226">
        <v>626</v>
      </c>
      <c r="D288" s="226">
        <v>626</v>
      </c>
      <c r="E288" s="226">
        <v>2</v>
      </c>
      <c r="F288" s="225"/>
      <c r="G288" s="215" t="s">
        <v>813</v>
      </c>
      <c r="H288" s="226">
        <v>1251</v>
      </c>
      <c r="I288" s="226">
        <v>1251</v>
      </c>
      <c r="J288" s="226">
        <v>1135</v>
      </c>
      <c r="K288" s="226">
        <v>0</v>
      </c>
      <c r="L288" s="215" t="s">
        <v>1061</v>
      </c>
      <c r="M288" s="215" t="s">
        <v>1096</v>
      </c>
    </row>
    <row r="289" spans="1:13" ht="172.2" thickBot="1" x14ac:dyDescent="0.35">
      <c r="A289" s="215"/>
      <c r="B289" s="224">
        <v>44053</v>
      </c>
      <c r="C289" s="226">
        <v>7285</v>
      </c>
      <c r="D289" s="226">
        <v>7577</v>
      </c>
      <c r="E289" s="226">
        <v>2</v>
      </c>
      <c r="F289" s="225"/>
      <c r="G289" s="215" t="s">
        <v>813</v>
      </c>
      <c r="H289" s="226">
        <v>14569</v>
      </c>
      <c r="I289" s="226">
        <v>15153</v>
      </c>
      <c r="J289" s="226">
        <v>14095</v>
      </c>
      <c r="K289" s="226">
        <v>2</v>
      </c>
      <c r="L289" s="215" t="s">
        <v>1076</v>
      </c>
      <c r="M289" s="215" t="s">
        <v>1097</v>
      </c>
    </row>
    <row r="290" spans="1:13" ht="31.8" thickBot="1" x14ac:dyDescent="0.35">
      <c r="A290" s="215"/>
      <c r="B290" s="224">
        <v>44054</v>
      </c>
      <c r="C290" s="226">
        <v>633</v>
      </c>
      <c r="D290" s="226">
        <v>677</v>
      </c>
      <c r="E290" s="226">
        <v>1</v>
      </c>
      <c r="F290" s="225"/>
      <c r="G290" s="215" t="s">
        <v>813</v>
      </c>
      <c r="H290" s="226">
        <v>633</v>
      </c>
      <c r="I290" s="226">
        <v>677</v>
      </c>
      <c r="J290" s="226">
        <v>613</v>
      </c>
      <c r="K290" s="226">
        <v>0</v>
      </c>
      <c r="L290" s="215" t="s">
        <v>1076</v>
      </c>
      <c r="M290" s="215" t="s">
        <v>1098</v>
      </c>
    </row>
    <row r="291" spans="1:13" ht="78.599999999999994" thickBot="1" x14ac:dyDescent="0.35">
      <c r="A291" s="215"/>
      <c r="B291" s="224">
        <v>44055</v>
      </c>
      <c r="C291" s="226">
        <v>642</v>
      </c>
      <c r="D291" s="226">
        <v>650</v>
      </c>
      <c r="E291" s="226">
        <v>3</v>
      </c>
      <c r="F291" s="225"/>
      <c r="G291" s="215" t="s">
        <v>813</v>
      </c>
      <c r="H291" s="226">
        <v>1925</v>
      </c>
      <c r="I291" s="226">
        <v>1950</v>
      </c>
      <c r="J291" s="226">
        <v>1774</v>
      </c>
      <c r="K291" s="226">
        <v>1</v>
      </c>
      <c r="L291" s="215" t="s">
        <v>1076</v>
      </c>
      <c r="M291" s="215" t="s">
        <v>1099</v>
      </c>
    </row>
    <row r="292" spans="1:13" ht="16.2" thickBot="1" x14ac:dyDescent="0.35">
      <c r="A292" s="215"/>
      <c r="B292" s="224">
        <v>44056</v>
      </c>
      <c r="C292" s="226">
        <v>494</v>
      </c>
      <c r="D292" s="226">
        <v>494</v>
      </c>
      <c r="E292" s="226">
        <v>1</v>
      </c>
      <c r="F292" s="225"/>
      <c r="G292" s="215" t="s">
        <v>813</v>
      </c>
      <c r="H292" s="226">
        <v>494</v>
      </c>
      <c r="I292" s="226">
        <v>494</v>
      </c>
      <c r="J292" s="226">
        <v>443</v>
      </c>
      <c r="K292" s="226">
        <v>0</v>
      </c>
      <c r="L292" s="215" t="s">
        <v>1061</v>
      </c>
      <c r="M292" s="215">
        <v>6029005900</v>
      </c>
    </row>
    <row r="293" spans="1:13" ht="16.2" thickBot="1" x14ac:dyDescent="0.35">
      <c r="A293" s="215"/>
      <c r="B293" s="224">
        <v>44057</v>
      </c>
      <c r="C293" s="226">
        <v>567</v>
      </c>
      <c r="D293" s="226">
        <v>633</v>
      </c>
      <c r="E293" s="226">
        <v>2</v>
      </c>
      <c r="F293" s="225"/>
      <c r="G293" s="215" t="s">
        <v>813</v>
      </c>
      <c r="H293" s="226">
        <v>1133</v>
      </c>
      <c r="I293" s="226">
        <v>1266</v>
      </c>
      <c r="J293" s="226">
        <v>919</v>
      </c>
      <c r="K293" s="226">
        <v>0</v>
      </c>
      <c r="L293" s="215" t="s">
        <v>1061</v>
      </c>
      <c r="M293" s="215">
        <v>6029005900</v>
      </c>
    </row>
    <row r="294" spans="1:13" ht="16.2" thickBot="1" x14ac:dyDescent="0.35">
      <c r="A294" s="215"/>
      <c r="B294" s="224">
        <v>44058</v>
      </c>
      <c r="C294" s="226">
        <v>4</v>
      </c>
      <c r="D294" s="226">
        <v>5</v>
      </c>
      <c r="E294" s="226">
        <v>1</v>
      </c>
      <c r="F294" s="225"/>
      <c r="G294" s="215" t="s">
        <v>813</v>
      </c>
      <c r="H294" s="226">
        <v>4</v>
      </c>
      <c r="I294" s="226">
        <v>5</v>
      </c>
      <c r="J294" s="226">
        <v>4</v>
      </c>
      <c r="K294" s="226">
        <v>0</v>
      </c>
      <c r="L294" s="215" t="s">
        <v>1061</v>
      </c>
      <c r="M294" s="215">
        <v>6029005900</v>
      </c>
    </row>
    <row r="295" spans="1:13" ht="16.2" thickBot="1" x14ac:dyDescent="0.35">
      <c r="A295" s="215"/>
      <c r="B295" s="224">
        <v>44059</v>
      </c>
      <c r="C295" s="226">
        <v>117</v>
      </c>
      <c r="D295" s="226">
        <v>117</v>
      </c>
      <c r="E295" s="226">
        <v>1</v>
      </c>
      <c r="F295" s="225"/>
      <c r="G295" s="215" t="s">
        <v>813</v>
      </c>
      <c r="H295" s="226">
        <v>117</v>
      </c>
      <c r="I295" s="226">
        <v>117</v>
      </c>
      <c r="J295" s="226">
        <v>107</v>
      </c>
      <c r="K295" s="226">
        <v>0</v>
      </c>
      <c r="L295" s="215" t="s">
        <v>1061</v>
      </c>
      <c r="M295" s="215">
        <v>6029005900</v>
      </c>
    </row>
    <row r="296" spans="1:13" ht="203.4" thickBot="1" x14ac:dyDescent="0.35">
      <c r="A296" s="215"/>
      <c r="B296" s="224">
        <v>44060</v>
      </c>
      <c r="C296" s="226">
        <v>4990</v>
      </c>
      <c r="D296" s="226">
        <v>5122</v>
      </c>
      <c r="E296" s="226">
        <v>3</v>
      </c>
      <c r="F296" s="225" t="s">
        <v>1100</v>
      </c>
      <c r="G296" s="215" t="s">
        <v>813</v>
      </c>
      <c r="H296" s="226">
        <v>14969</v>
      </c>
      <c r="I296" s="226">
        <v>15366</v>
      </c>
      <c r="J296" s="226">
        <v>14268</v>
      </c>
      <c r="K296" s="226">
        <v>0</v>
      </c>
      <c r="L296" s="215" t="s">
        <v>1073</v>
      </c>
      <c r="M296" s="215" t="s">
        <v>1101</v>
      </c>
    </row>
    <row r="297" spans="1:13" ht="141" thickBot="1" x14ac:dyDescent="0.35">
      <c r="A297" s="215"/>
      <c r="B297" s="224">
        <v>44061</v>
      </c>
      <c r="C297" s="226">
        <v>2783</v>
      </c>
      <c r="D297" s="226">
        <v>2811</v>
      </c>
      <c r="E297" s="226">
        <v>4</v>
      </c>
      <c r="F297" s="225"/>
      <c r="G297" s="215" t="s">
        <v>813</v>
      </c>
      <c r="H297" s="226">
        <v>11132</v>
      </c>
      <c r="I297" s="226">
        <v>11242</v>
      </c>
      <c r="J297" s="226">
        <v>10800</v>
      </c>
      <c r="K297" s="226">
        <v>0</v>
      </c>
      <c r="L297" s="215" t="s">
        <v>1102</v>
      </c>
      <c r="M297" s="215" t="s">
        <v>1103</v>
      </c>
    </row>
    <row r="298" spans="1:13" ht="31.8" thickBot="1" x14ac:dyDescent="0.35">
      <c r="A298" s="215"/>
      <c r="B298" s="224">
        <v>44062</v>
      </c>
      <c r="C298" s="226">
        <v>15</v>
      </c>
      <c r="D298" s="226">
        <v>15</v>
      </c>
      <c r="E298" s="226">
        <v>1</v>
      </c>
      <c r="F298" s="225"/>
      <c r="G298" s="215" t="s">
        <v>813</v>
      </c>
      <c r="H298" s="226">
        <v>15</v>
      </c>
      <c r="I298" s="226">
        <v>15</v>
      </c>
      <c r="J298" s="226">
        <v>11</v>
      </c>
      <c r="K298" s="226">
        <v>0</v>
      </c>
      <c r="L298" s="215" t="s">
        <v>1102</v>
      </c>
      <c r="M298" s="215" t="s">
        <v>1104</v>
      </c>
    </row>
    <row r="299" spans="1:13" ht="16.2" thickBot="1" x14ac:dyDescent="0.35">
      <c r="A299" s="215"/>
      <c r="B299" s="224">
        <v>44063</v>
      </c>
      <c r="C299" s="226">
        <v>10</v>
      </c>
      <c r="D299" s="226">
        <v>10</v>
      </c>
      <c r="E299" s="226">
        <v>1</v>
      </c>
      <c r="F299" s="225"/>
      <c r="G299" s="215" t="s">
        <v>813</v>
      </c>
      <c r="H299" s="226">
        <v>10</v>
      </c>
      <c r="I299" s="226">
        <v>10</v>
      </c>
      <c r="J299" s="226">
        <v>3</v>
      </c>
      <c r="K299" s="226">
        <v>0</v>
      </c>
      <c r="L299" s="215" t="s">
        <v>1102</v>
      </c>
      <c r="M299" s="215">
        <v>6111007614</v>
      </c>
    </row>
    <row r="300" spans="1:13" ht="94.2" thickBot="1" x14ac:dyDescent="0.35">
      <c r="A300" s="215"/>
      <c r="B300" s="224">
        <v>44064</v>
      </c>
      <c r="C300" s="226">
        <v>2007</v>
      </c>
      <c r="D300" s="226">
        <v>2118</v>
      </c>
      <c r="E300" s="226">
        <v>3</v>
      </c>
      <c r="F300" s="225"/>
      <c r="G300" s="215" t="s">
        <v>813</v>
      </c>
      <c r="H300" s="226">
        <v>6022</v>
      </c>
      <c r="I300" s="226">
        <v>6353</v>
      </c>
      <c r="J300" s="226">
        <v>5704</v>
      </c>
      <c r="K300" s="226">
        <v>0</v>
      </c>
      <c r="L300" s="215" t="s">
        <v>1070</v>
      </c>
      <c r="M300" s="215" t="s">
        <v>1105</v>
      </c>
    </row>
    <row r="301" spans="1:13" ht="16.2" thickBot="1" x14ac:dyDescent="0.35">
      <c r="A301" s="215"/>
      <c r="B301" s="224">
        <v>44065</v>
      </c>
      <c r="C301" s="226">
        <v>249</v>
      </c>
      <c r="D301" s="226">
        <v>249</v>
      </c>
      <c r="E301" s="226">
        <v>1</v>
      </c>
      <c r="F301" s="225"/>
      <c r="G301" s="215" t="s">
        <v>813</v>
      </c>
      <c r="H301" s="226">
        <v>249</v>
      </c>
      <c r="I301" s="226">
        <v>249</v>
      </c>
      <c r="J301" s="226">
        <v>248</v>
      </c>
      <c r="K301" s="226">
        <v>0</v>
      </c>
      <c r="L301" s="215" t="s">
        <v>1102</v>
      </c>
      <c r="M301" s="215">
        <v>6111009300</v>
      </c>
    </row>
    <row r="302" spans="1:13" ht="31.8" thickBot="1" x14ac:dyDescent="0.35">
      <c r="A302" s="215"/>
      <c r="B302" s="224">
        <v>44066</v>
      </c>
      <c r="C302" s="226">
        <v>2</v>
      </c>
      <c r="D302" s="226">
        <v>2</v>
      </c>
      <c r="E302" s="226">
        <v>1</v>
      </c>
      <c r="F302" s="225"/>
      <c r="G302" s="215" t="s">
        <v>813</v>
      </c>
      <c r="H302" s="226">
        <v>2</v>
      </c>
      <c r="I302" s="226">
        <v>2</v>
      </c>
      <c r="J302" s="226">
        <v>1</v>
      </c>
      <c r="K302" s="226">
        <v>0</v>
      </c>
      <c r="L302" s="215" t="s">
        <v>1102</v>
      </c>
      <c r="M302" s="215" t="s">
        <v>1104</v>
      </c>
    </row>
    <row r="303" spans="1:13" ht="16.2" thickBot="1" x14ac:dyDescent="0.35">
      <c r="A303" s="215"/>
      <c r="B303" s="224">
        <v>44067</v>
      </c>
      <c r="C303" s="226">
        <v>34</v>
      </c>
      <c r="D303" s="226">
        <v>34</v>
      </c>
      <c r="E303" s="226">
        <v>1</v>
      </c>
      <c r="F303" s="225"/>
      <c r="G303" s="215" t="s">
        <v>813</v>
      </c>
      <c r="H303" s="226">
        <v>34</v>
      </c>
      <c r="I303" s="226">
        <v>34</v>
      </c>
      <c r="J303" s="226">
        <v>16</v>
      </c>
      <c r="K303" s="226">
        <v>0</v>
      </c>
      <c r="L303" s="215" t="s">
        <v>1061</v>
      </c>
      <c r="M303" s="215">
        <v>6037900602</v>
      </c>
    </row>
    <row r="304" spans="1:13" ht="31.8" thickBot="1" x14ac:dyDescent="0.35">
      <c r="A304" s="215"/>
      <c r="B304" s="224">
        <v>44069</v>
      </c>
      <c r="C304" s="226">
        <v>265</v>
      </c>
      <c r="D304" s="226">
        <v>265</v>
      </c>
      <c r="E304" s="226">
        <v>1</v>
      </c>
      <c r="F304" s="225"/>
      <c r="G304" s="215" t="s">
        <v>813</v>
      </c>
      <c r="H304" s="226">
        <v>265</v>
      </c>
      <c r="I304" s="226">
        <v>265</v>
      </c>
      <c r="J304" s="226">
        <v>262</v>
      </c>
      <c r="K304" s="226">
        <v>0</v>
      </c>
      <c r="L304" s="215" t="s">
        <v>1102</v>
      </c>
      <c r="M304" s="215" t="s">
        <v>1106</v>
      </c>
    </row>
    <row r="305" spans="1:13" ht="94.2" thickBot="1" x14ac:dyDescent="0.35">
      <c r="A305" s="215"/>
      <c r="B305" s="224">
        <v>44071</v>
      </c>
      <c r="C305" s="226">
        <v>2679</v>
      </c>
      <c r="D305" s="226">
        <v>2735</v>
      </c>
      <c r="E305" s="226">
        <v>3</v>
      </c>
      <c r="F305" s="225"/>
      <c r="G305" s="215" t="s">
        <v>813</v>
      </c>
      <c r="H305" s="226">
        <v>8036</v>
      </c>
      <c r="I305" s="226">
        <v>8205</v>
      </c>
      <c r="J305" s="226">
        <v>7658</v>
      </c>
      <c r="K305" s="226">
        <v>2</v>
      </c>
      <c r="L305" s="215" t="s">
        <v>1076</v>
      </c>
      <c r="M305" s="215" t="s">
        <v>1107</v>
      </c>
    </row>
    <row r="306" spans="1:13" ht="16.2" thickBot="1" x14ac:dyDescent="0.35">
      <c r="A306" s="215"/>
      <c r="B306" s="224">
        <v>44072</v>
      </c>
      <c r="C306" s="226">
        <v>1330</v>
      </c>
      <c r="D306" s="226">
        <v>1484</v>
      </c>
      <c r="E306" s="226">
        <v>1</v>
      </c>
      <c r="F306" s="225"/>
      <c r="G306" s="215" t="s">
        <v>813</v>
      </c>
      <c r="H306" s="226">
        <v>1330</v>
      </c>
      <c r="I306" s="226">
        <v>1484</v>
      </c>
      <c r="J306" s="226">
        <v>1300</v>
      </c>
      <c r="K306" s="226">
        <v>0</v>
      </c>
      <c r="L306" s="215" t="s">
        <v>1070</v>
      </c>
      <c r="M306" s="215">
        <v>6079010504</v>
      </c>
    </row>
    <row r="307" spans="1:13" ht="47.4" thickBot="1" x14ac:dyDescent="0.35">
      <c r="A307" s="215"/>
      <c r="B307" s="224">
        <v>44073</v>
      </c>
      <c r="C307" s="226">
        <v>1612</v>
      </c>
      <c r="D307" s="226">
        <v>1614</v>
      </c>
      <c r="E307" s="226">
        <v>1</v>
      </c>
      <c r="F307" s="225"/>
      <c r="G307" s="215" t="s">
        <v>813</v>
      </c>
      <c r="H307" s="226">
        <v>1612</v>
      </c>
      <c r="I307" s="226">
        <v>1614</v>
      </c>
      <c r="J307" s="226">
        <v>1517</v>
      </c>
      <c r="K307" s="226">
        <v>0</v>
      </c>
      <c r="L307" s="215" t="s">
        <v>1073</v>
      </c>
      <c r="M307" s="215" t="s">
        <v>1108</v>
      </c>
    </row>
    <row r="308" spans="1:13" ht="47.4" thickBot="1" x14ac:dyDescent="0.35">
      <c r="A308" s="215"/>
      <c r="B308" s="224">
        <v>44074</v>
      </c>
      <c r="C308" s="226">
        <v>256</v>
      </c>
      <c r="D308" s="226">
        <v>256</v>
      </c>
      <c r="E308" s="226">
        <v>1</v>
      </c>
      <c r="F308" s="225"/>
      <c r="G308" s="215" t="s">
        <v>813</v>
      </c>
      <c r="H308" s="226">
        <v>256</v>
      </c>
      <c r="I308" s="226">
        <v>256</v>
      </c>
      <c r="J308" s="226">
        <v>186</v>
      </c>
      <c r="K308" s="226">
        <v>0</v>
      </c>
      <c r="L308" s="215" t="s">
        <v>1073</v>
      </c>
      <c r="M308" s="215" t="s">
        <v>1109</v>
      </c>
    </row>
    <row r="309" spans="1:13" ht="125.4" thickBot="1" x14ac:dyDescent="0.35">
      <c r="A309" s="215"/>
      <c r="B309" s="224">
        <v>44076</v>
      </c>
      <c r="C309" s="226">
        <v>2080</v>
      </c>
      <c r="D309" s="226">
        <v>2097</v>
      </c>
      <c r="E309" s="226">
        <v>5</v>
      </c>
      <c r="F309" s="225"/>
      <c r="G309" s="215" t="s">
        <v>813</v>
      </c>
      <c r="H309" s="226">
        <v>10401</v>
      </c>
      <c r="I309" s="226">
        <v>10485</v>
      </c>
      <c r="J309" s="226">
        <v>9699</v>
      </c>
      <c r="K309" s="226">
        <v>0</v>
      </c>
      <c r="L309" s="215" t="s">
        <v>1073</v>
      </c>
      <c r="M309" s="215" t="s">
        <v>1110</v>
      </c>
    </row>
    <row r="310" spans="1:13" ht="31.8" thickBot="1" x14ac:dyDescent="0.35">
      <c r="A310" s="215"/>
      <c r="B310" s="224">
        <v>44078</v>
      </c>
      <c r="C310" s="226">
        <v>10</v>
      </c>
      <c r="D310" s="226">
        <v>15</v>
      </c>
      <c r="E310" s="226">
        <v>1</v>
      </c>
      <c r="F310" s="225"/>
      <c r="G310" s="215" t="s">
        <v>813</v>
      </c>
      <c r="H310" s="226">
        <v>10</v>
      </c>
      <c r="I310" s="226">
        <v>15</v>
      </c>
      <c r="J310" s="226">
        <v>4</v>
      </c>
      <c r="K310" s="226">
        <v>1</v>
      </c>
      <c r="L310" s="215" t="s">
        <v>1073</v>
      </c>
      <c r="M310" s="215" t="s">
        <v>1111</v>
      </c>
    </row>
    <row r="311" spans="1:13" ht="16.2" thickBot="1" x14ac:dyDescent="0.35">
      <c r="A311" s="215"/>
      <c r="B311" s="224">
        <v>44079</v>
      </c>
      <c r="C311" s="226">
        <v>53</v>
      </c>
      <c r="D311" s="226">
        <v>53</v>
      </c>
      <c r="E311" s="226">
        <v>1</v>
      </c>
      <c r="F311" s="225" t="s">
        <v>1112</v>
      </c>
      <c r="G311" s="215" t="s">
        <v>813</v>
      </c>
      <c r="H311" s="226">
        <v>53</v>
      </c>
      <c r="I311" s="226">
        <v>53</v>
      </c>
      <c r="J311" s="226">
        <v>30</v>
      </c>
      <c r="K311" s="226">
        <v>1</v>
      </c>
      <c r="L311" s="215" t="s">
        <v>1073</v>
      </c>
      <c r="M311" s="215">
        <v>6111004704</v>
      </c>
    </row>
    <row r="312" spans="1:13" ht="409.6" thickBot="1" x14ac:dyDescent="0.35">
      <c r="A312" s="215"/>
      <c r="B312" s="224">
        <v>44083</v>
      </c>
      <c r="C312" s="226">
        <v>3556</v>
      </c>
      <c r="D312" s="226">
        <v>3642</v>
      </c>
      <c r="E312" s="226">
        <v>23</v>
      </c>
      <c r="F312" s="225" t="s">
        <v>1113</v>
      </c>
      <c r="G312" s="215" t="s">
        <v>813</v>
      </c>
      <c r="H312" s="226">
        <v>81799</v>
      </c>
      <c r="I312" s="226">
        <v>83756</v>
      </c>
      <c r="J312" s="226">
        <v>78594</v>
      </c>
      <c r="K312" s="226">
        <v>6</v>
      </c>
      <c r="L312" s="215" t="s">
        <v>1073</v>
      </c>
      <c r="M312" s="215" t="s">
        <v>1114</v>
      </c>
    </row>
    <row r="313" spans="1:13" ht="156.6" thickBot="1" x14ac:dyDescent="0.35">
      <c r="A313" s="215"/>
      <c r="B313" s="224">
        <v>44089</v>
      </c>
      <c r="C313" s="226">
        <v>2916</v>
      </c>
      <c r="D313" s="226">
        <v>2932</v>
      </c>
      <c r="E313" s="226">
        <v>4</v>
      </c>
      <c r="F313" s="225"/>
      <c r="G313" s="215" t="s">
        <v>813</v>
      </c>
      <c r="H313" s="226">
        <v>11663</v>
      </c>
      <c r="I313" s="226">
        <v>11729</v>
      </c>
      <c r="J313" s="226">
        <v>11048</v>
      </c>
      <c r="K313" s="226">
        <v>1</v>
      </c>
      <c r="L313" s="215" t="s">
        <v>1061</v>
      </c>
      <c r="M313" s="215" t="s">
        <v>1115</v>
      </c>
    </row>
    <row r="314" spans="1:13" ht="16.2" thickBot="1" x14ac:dyDescent="0.35">
      <c r="A314" s="215"/>
      <c r="B314" s="224">
        <v>44091</v>
      </c>
      <c r="C314" s="226">
        <v>34</v>
      </c>
      <c r="D314" s="226">
        <v>34</v>
      </c>
      <c r="E314" s="226">
        <v>1</v>
      </c>
      <c r="F314" s="225"/>
      <c r="G314" s="215" t="s">
        <v>813</v>
      </c>
      <c r="H314" s="226">
        <v>34</v>
      </c>
      <c r="I314" s="226">
        <v>34</v>
      </c>
      <c r="J314" s="226">
        <v>32</v>
      </c>
      <c r="K314" s="226">
        <v>0</v>
      </c>
      <c r="L314" s="215" t="s">
        <v>1061</v>
      </c>
      <c r="M314" s="215">
        <v>6037910218</v>
      </c>
    </row>
    <row r="315" spans="1:13" ht="31.8" thickBot="1" x14ac:dyDescent="0.35">
      <c r="A315" s="215"/>
      <c r="B315" s="224">
        <v>44092</v>
      </c>
      <c r="C315" s="226">
        <v>215</v>
      </c>
      <c r="D315" s="226">
        <v>215</v>
      </c>
      <c r="E315" s="226">
        <v>1</v>
      </c>
      <c r="F315" s="225"/>
      <c r="G315" s="215" t="s">
        <v>813</v>
      </c>
      <c r="H315" s="226">
        <v>215</v>
      </c>
      <c r="I315" s="226">
        <v>215</v>
      </c>
      <c r="J315" s="226">
        <v>197</v>
      </c>
      <c r="K315" s="226">
        <v>0</v>
      </c>
      <c r="L315" s="215" t="s">
        <v>1061</v>
      </c>
      <c r="M315" s="215" t="s">
        <v>1116</v>
      </c>
    </row>
    <row r="316" spans="1:13" ht="31.8" thickBot="1" x14ac:dyDescent="0.35">
      <c r="A316" s="215"/>
      <c r="B316" s="224">
        <v>44093</v>
      </c>
      <c r="C316" s="226">
        <v>2</v>
      </c>
      <c r="D316" s="226">
        <v>2</v>
      </c>
      <c r="E316" s="226">
        <v>1</v>
      </c>
      <c r="F316" s="225"/>
      <c r="G316" s="215" t="s">
        <v>813</v>
      </c>
      <c r="H316" s="226">
        <v>2</v>
      </c>
      <c r="I316" s="226">
        <v>2</v>
      </c>
      <c r="J316" s="226">
        <v>0</v>
      </c>
      <c r="K316" s="226">
        <v>0</v>
      </c>
      <c r="L316" s="215" t="s">
        <v>1061</v>
      </c>
      <c r="M316" s="215" t="s">
        <v>1117</v>
      </c>
    </row>
    <row r="317" spans="1:13" ht="47.4" thickBot="1" x14ac:dyDescent="0.35">
      <c r="A317" s="215"/>
      <c r="B317" s="224">
        <v>44094</v>
      </c>
      <c r="C317" s="226">
        <v>1166</v>
      </c>
      <c r="D317" s="226">
        <v>1168</v>
      </c>
      <c r="E317" s="226">
        <v>1</v>
      </c>
      <c r="F317" s="225"/>
      <c r="G317" s="215" t="s">
        <v>813</v>
      </c>
      <c r="H317" s="226">
        <v>1166</v>
      </c>
      <c r="I317" s="226">
        <v>1168</v>
      </c>
      <c r="J317" s="226">
        <v>1127</v>
      </c>
      <c r="K317" s="226">
        <v>0</v>
      </c>
      <c r="L317" s="215" t="s">
        <v>1061</v>
      </c>
      <c r="M317" s="215" t="s">
        <v>1118</v>
      </c>
    </row>
    <row r="318" spans="1:13" ht="409.6" thickBot="1" x14ac:dyDescent="0.35">
      <c r="A318" s="215"/>
      <c r="B318" s="224">
        <v>44095</v>
      </c>
      <c r="C318" s="226">
        <v>7709</v>
      </c>
      <c r="D318" s="226">
        <v>8104</v>
      </c>
      <c r="E318" s="226">
        <v>6</v>
      </c>
      <c r="F318" s="225"/>
      <c r="G318" s="215" t="s">
        <v>813</v>
      </c>
      <c r="H318" s="226">
        <v>46252</v>
      </c>
      <c r="I318" s="226">
        <v>48624</v>
      </c>
      <c r="J318" s="226">
        <v>44469</v>
      </c>
      <c r="K318" s="226">
        <v>5</v>
      </c>
      <c r="L318" s="215" t="s">
        <v>1119</v>
      </c>
      <c r="M318" s="215" t="s">
        <v>1120</v>
      </c>
    </row>
    <row r="319" spans="1:13" ht="172.2" thickBot="1" x14ac:dyDescent="0.35">
      <c r="A319" s="215"/>
      <c r="B319" s="224">
        <v>44096</v>
      </c>
      <c r="C319" s="226">
        <v>3424</v>
      </c>
      <c r="D319" s="226">
        <v>3512</v>
      </c>
      <c r="E319" s="226">
        <v>4</v>
      </c>
      <c r="F319" s="225"/>
      <c r="G319" s="215" t="s">
        <v>813</v>
      </c>
      <c r="H319" s="226">
        <v>13696</v>
      </c>
      <c r="I319" s="226">
        <v>14048</v>
      </c>
      <c r="J319" s="226">
        <v>13240</v>
      </c>
      <c r="K319" s="226">
        <v>0</v>
      </c>
      <c r="L319" s="215" t="s">
        <v>1121</v>
      </c>
      <c r="M319" s="215" t="s">
        <v>1122</v>
      </c>
    </row>
    <row r="320" spans="1:13" ht="16.2" thickBot="1" x14ac:dyDescent="0.35">
      <c r="A320" s="215"/>
      <c r="B320" s="224">
        <v>44097</v>
      </c>
      <c r="C320" s="226">
        <v>553</v>
      </c>
      <c r="D320" s="226">
        <v>615</v>
      </c>
      <c r="E320" s="226">
        <v>1</v>
      </c>
      <c r="F320" s="225"/>
      <c r="G320" s="215" t="s">
        <v>813</v>
      </c>
      <c r="H320" s="226">
        <v>553</v>
      </c>
      <c r="I320" s="226">
        <v>615</v>
      </c>
      <c r="J320" s="226">
        <v>552</v>
      </c>
      <c r="K320" s="226">
        <v>0</v>
      </c>
      <c r="L320" s="215" t="s">
        <v>1073</v>
      </c>
      <c r="M320" s="215">
        <v>6111009700</v>
      </c>
    </row>
    <row r="321" spans="1:13" ht="63" thickBot="1" x14ac:dyDescent="0.35">
      <c r="A321" s="215"/>
      <c r="B321" s="224">
        <v>44100</v>
      </c>
      <c r="C321" s="226">
        <v>1869</v>
      </c>
      <c r="D321" s="226">
        <v>1945</v>
      </c>
      <c r="E321" s="226">
        <v>2</v>
      </c>
      <c r="F321" s="225"/>
      <c r="G321" s="215" t="s">
        <v>813</v>
      </c>
      <c r="H321" s="226">
        <v>3738</v>
      </c>
      <c r="I321" s="226">
        <v>3889</v>
      </c>
      <c r="J321" s="226">
        <v>3590</v>
      </c>
      <c r="K321" s="226">
        <v>0</v>
      </c>
      <c r="L321" s="215" t="s">
        <v>1070</v>
      </c>
      <c r="M321" s="215" t="s">
        <v>1123</v>
      </c>
    </row>
    <row r="322" spans="1:13" ht="234.6" thickBot="1" x14ac:dyDescent="0.35">
      <c r="A322" s="215"/>
      <c r="B322" s="224">
        <v>44101</v>
      </c>
      <c r="C322" s="226">
        <v>4502</v>
      </c>
      <c r="D322" s="226">
        <v>4507</v>
      </c>
      <c r="E322" s="226">
        <v>3</v>
      </c>
      <c r="F322" s="225"/>
      <c r="G322" s="215" t="s">
        <v>813</v>
      </c>
      <c r="H322" s="226">
        <v>13505</v>
      </c>
      <c r="I322" s="226">
        <v>13520</v>
      </c>
      <c r="J322" s="226">
        <v>12837</v>
      </c>
      <c r="K322" s="226">
        <v>0</v>
      </c>
      <c r="L322" s="215" t="s">
        <v>1061</v>
      </c>
      <c r="M322" s="215" t="s">
        <v>1124</v>
      </c>
    </row>
    <row r="323" spans="1:13" ht="406.2" thickBot="1" x14ac:dyDescent="0.35">
      <c r="A323" s="215"/>
      <c r="B323" s="224">
        <v>44102</v>
      </c>
      <c r="C323" s="226">
        <v>7196</v>
      </c>
      <c r="D323" s="226">
        <v>7344</v>
      </c>
      <c r="E323" s="226">
        <v>3</v>
      </c>
      <c r="F323" s="225"/>
      <c r="G323" s="215" t="s">
        <v>813</v>
      </c>
      <c r="H323" s="226">
        <v>21589</v>
      </c>
      <c r="I323" s="226">
        <v>22032</v>
      </c>
      <c r="J323" s="226">
        <v>19932</v>
      </c>
      <c r="K323" s="226">
        <v>1</v>
      </c>
      <c r="L323" s="215" t="s">
        <v>1088</v>
      </c>
      <c r="M323" s="215" t="s">
        <v>1125</v>
      </c>
    </row>
    <row r="324" spans="1:13" ht="409.6" thickBot="1" x14ac:dyDescent="0.35">
      <c r="A324" s="215"/>
      <c r="B324" s="224">
        <v>44103</v>
      </c>
      <c r="C324" s="226">
        <v>5804</v>
      </c>
      <c r="D324" s="226">
        <v>6028</v>
      </c>
      <c r="E324" s="226">
        <v>10</v>
      </c>
      <c r="F324" s="225" t="s">
        <v>1126</v>
      </c>
      <c r="G324" s="215" t="s">
        <v>813</v>
      </c>
      <c r="H324" s="226">
        <v>58038</v>
      </c>
      <c r="I324" s="226">
        <v>60275</v>
      </c>
      <c r="J324" s="226">
        <v>55874</v>
      </c>
      <c r="K324" s="226">
        <v>4</v>
      </c>
      <c r="L324" s="215" t="s">
        <v>1127</v>
      </c>
      <c r="M324" s="215" t="s">
        <v>1128</v>
      </c>
    </row>
    <row r="325" spans="1:13" ht="16.2" thickBot="1" x14ac:dyDescent="0.35">
      <c r="A325" s="215"/>
      <c r="B325" s="224">
        <v>44104</v>
      </c>
      <c r="C325" s="226">
        <v>224</v>
      </c>
      <c r="D325" s="226">
        <v>230</v>
      </c>
      <c r="E325" s="226">
        <v>1</v>
      </c>
      <c r="F325" s="225"/>
      <c r="G325" s="215" t="s">
        <v>813</v>
      </c>
      <c r="H325" s="226">
        <v>224</v>
      </c>
      <c r="I325" s="226">
        <v>230</v>
      </c>
      <c r="J325" s="226">
        <v>198</v>
      </c>
      <c r="K325" s="226">
        <v>0</v>
      </c>
      <c r="L325" s="215" t="s">
        <v>1129</v>
      </c>
      <c r="M325" s="215">
        <v>6111009500</v>
      </c>
    </row>
    <row r="326" spans="1:13" ht="16.2" thickBot="1" x14ac:dyDescent="0.35">
      <c r="A326" s="215"/>
      <c r="B326" s="224">
        <v>44105</v>
      </c>
      <c r="C326" s="226">
        <v>293</v>
      </c>
      <c r="D326" s="226">
        <v>294</v>
      </c>
      <c r="E326" s="226">
        <v>1</v>
      </c>
      <c r="F326" s="225"/>
      <c r="G326" s="215" t="s">
        <v>813</v>
      </c>
      <c r="H326" s="226">
        <v>293</v>
      </c>
      <c r="I326" s="226">
        <v>294</v>
      </c>
      <c r="J326" s="226">
        <v>251</v>
      </c>
      <c r="K326" s="226">
        <v>0</v>
      </c>
      <c r="L326" s="215" t="s">
        <v>1129</v>
      </c>
      <c r="M326" s="215">
        <v>6111009500</v>
      </c>
    </row>
    <row r="327" spans="1:13" ht="94.2" thickBot="1" x14ac:dyDescent="0.35">
      <c r="A327" s="215"/>
      <c r="B327" s="224">
        <v>44106</v>
      </c>
      <c r="C327" s="226">
        <v>2348</v>
      </c>
      <c r="D327" s="226">
        <v>2350</v>
      </c>
      <c r="E327" s="226">
        <v>3</v>
      </c>
      <c r="F327" s="225"/>
      <c r="G327" s="215" t="s">
        <v>813</v>
      </c>
      <c r="H327" s="226">
        <v>7045</v>
      </c>
      <c r="I327" s="226">
        <v>7051</v>
      </c>
      <c r="J327" s="226">
        <v>6374</v>
      </c>
      <c r="K327" s="226">
        <v>0</v>
      </c>
      <c r="L327" s="215" t="s">
        <v>1061</v>
      </c>
      <c r="M327" s="215" t="s">
        <v>1130</v>
      </c>
    </row>
    <row r="328" spans="1:13" ht="409.6" thickBot="1" x14ac:dyDescent="0.35">
      <c r="A328" s="215"/>
      <c r="B328" s="224">
        <v>44107</v>
      </c>
      <c r="C328" s="226">
        <v>4234</v>
      </c>
      <c r="D328" s="226">
        <v>4350</v>
      </c>
      <c r="E328" s="226">
        <v>9</v>
      </c>
      <c r="F328" s="225"/>
      <c r="G328" s="215" t="s">
        <v>813</v>
      </c>
      <c r="H328" s="226">
        <v>38109</v>
      </c>
      <c r="I328" s="226">
        <v>39152</v>
      </c>
      <c r="J328" s="226">
        <v>35263</v>
      </c>
      <c r="K328" s="226">
        <v>4</v>
      </c>
      <c r="L328" s="215" t="s">
        <v>1131</v>
      </c>
      <c r="M328" s="215" t="s">
        <v>1132</v>
      </c>
    </row>
    <row r="329" spans="1:13" ht="409.6" thickBot="1" x14ac:dyDescent="0.35">
      <c r="A329" s="215"/>
      <c r="B329" s="224">
        <v>44108</v>
      </c>
      <c r="C329" s="226">
        <v>5406</v>
      </c>
      <c r="D329" s="226">
        <v>5457</v>
      </c>
      <c r="E329" s="226">
        <v>13</v>
      </c>
      <c r="F329" s="225" t="s">
        <v>1133</v>
      </c>
      <c r="G329" s="215" t="s">
        <v>813</v>
      </c>
      <c r="H329" s="226">
        <v>70284</v>
      </c>
      <c r="I329" s="226">
        <v>70938</v>
      </c>
      <c r="J329" s="226">
        <v>64754</v>
      </c>
      <c r="K329" s="226">
        <v>6</v>
      </c>
      <c r="L329" s="215" t="s">
        <v>1129</v>
      </c>
      <c r="M329" s="215" t="s">
        <v>1134</v>
      </c>
    </row>
    <row r="330" spans="1:13" ht="16.2" thickBot="1" x14ac:dyDescent="0.35">
      <c r="A330" s="215"/>
      <c r="B330" s="224">
        <v>44109</v>
      </c>
      <c r="C330" s="226">
        <v>453</v>
      </c>
      <c r="D330" s="226">
        <v>495</v>
      </c>
      <c r="E330" s="226">
        <v>1</v>
      </c>
      <c r="F330" s="225"/>
      <c r="G330" s="215" t="s">
        <v>813</v>
      </c>
      <c r="H330" s="226">
        <v>453</v>
      </c>
      <c r="I330" s="226">
        <v>495</v>
      </c>
      <c r="J330" s="226">
        <v>461</v>
      </c>
      <c r="K330" s="226">
        <v>0</v>
      </c>
      <c r="L330" s="215" t="s">
        <v>1121</v>
      </c>
      <c r="M330" s="215">
        <v>6079012705</v>
      </c>
    </row>
    <row r="331" spans="1:13" ht="78.599999999999994" thickBot="1" x14ac:dyDescent="0.35">
      <c r="A331" s="215"/>
      <c r="B331" s="224">
        <v>44110</v>
      </c>
      <c r="C331" s="226">
        <v>473</v>
      </c>
      <c r="D331" s="226">
        <v>474</v>
      </c>
      <c r="E331" s="226">
        <v>1</v>
      </c>
      <c r="F331" s="225"/>
      <c r="G331" s="215" t="s">
        <v>813</v>
      </c>
      <c r="H331" s="226">
        <v>473</v>
      </c>
      <c r="I331" s="226">
        <v>474</v>
      </c>
      <c r="J331" s="226">
        <v>456</v>
      </c>
      <c r="K331" s="226">
        <v>0</v>
      </c>
      <c r="L331" s="215" t="s">
        <v>1076</v>
      </c>
      <c r="M331" s="215" t="s">
        <v>1135</v>
      </c>
    </row>
    <row r="332" spans="1:13" ht="409.6" thickBot="1" x14ac:dyDescent="0.35">
      <c r="A332" s="215"/>
      <c r="B332" s="224">
        <v>44111</v>
      </c>
      <c r="C332" s="226">
        <v>4554</v>
      </c>
      <c r="D332" s="226">
        <v>4694</v>
      </c>
      <c r="E332" s="226">
        <v>9</v>
      </c>
      <c r="F332" s="225" t="s">
        <v>1136</v>
      </c>
      <c r="G332" s="215" t="s">
        <v>813</v>
      </c>
      <c r="H332" s="226">
        <v>40985</v>
      </c>
      <c r="I332" s="226">
        <v>42246</v>
      </c>
      <c r="J332" s="226">
        <v>39384</v>
      </c>
      <c r="K332" s="226">
        <v>5</v>
      </c>
      <c r="L332" s="215" t="s">
        <v>1076</v>
      </c>
      <c r="M332" s="215" t="s">
        <v>1137</v>
      </c>
    </row>
    <row r="333" spans="1:13" ht="94.2" thickBot="1" x14ac:dyDescent="0.35">
      <c r="A333" s="215"/>
      <c r="B333" s="224">
        <v>44112</v>
      </c>
      <c r="C333" s="226">
        <v>2804</v>
      </c>
      <c r="D333" s="226">
        <v>2914</v>
      </c>
      <c r="E333" s="226">
        <v>3</v>
      </c>
      <c r="F333" s="225" t="s">
        <v>1138</v>
      </c>
      <c r="G333" s="215" t="s">
        <v>813</v>
      </c>
      <c r="H333" s="226">
        <v>8412</v>
      </c>
      <c r="I333" s="226">
        <v>8743</v>
      </c>
      <c r="J333" s="226">
        <v>8000</v>
      </c>
      <c r="K333" s="226">
        <v>0</v>
      </c>
      <c r="L333" s="215" t="s">
        <v>1073</v>
      </c>
      <c r="M333" s="215" t="s">
        <v>1139</v>
      </c>
    </row>
    <row r="334" spans="1:13" ht="16.2" thickBot="1" x14ac:dyDescent="0.35">
      <c r="A334" s="215"/>
      <c r="B334" s="224">
        <v>44114</v>
      </c>
      <c r="C334" s="226">
        <v>27</v>
      </c>
      <c r="D334" s="226">
        <v>29</v>
      </c>
      <c r="E334" s="226">
        <v>1</v>
      </c>
      <c r="F334" s="225"/>
      <c r="G334" s="215" t="s">
        <v>813</v>
      </c>
      <c r="H334" s="226">
        <v>27</v>
      </c>
      <c r="I334" s="226">
        <v>29</v>
      </c>
      <c r="J334" s="226">
        <v>21</v>
      </c>
      <c r="K334" s="226">
        <v>0</v>
      </c>
      <c r="L334" s="215" t="s">
        <v>1073</v>
      </c>
      <c r="M334" s="215">
        <v>6111000500</v>
      </c>
    </row>
    <row r="335" spans="1:13" ht="16.2" thickBot="1" x14ac:dyDescent="0.35">
      <c r="A335" s="215"/>
      <c r="B335" s="224">
        <v>44116</v>
      </c>
      <c r="C335" s="226">
        <v>644</v>
      </c>
      <c r="D335" s="226">
        <v>644</v>
      </c>
      <c r="E335" s="226">
        <v>1</v>
      </c>
      <c r="F335" s="225"/>
      <c r="G335" s="215" t="s">
        <v>813</v>
      </c>
      <c r="H335" s="226">
        <v>644</v>
      </c>
      <c r="I335" s="226">
        <v>644</v>
      </c>
      <c r="J335" s="226">
        <v>689</v>
      </c>
      <c r="K335" s="226">
        <v>0</v>
      </c>
      <c r="L335" s="215" t="s">
        <v>1073</v>
      </c>
      <c r="M335" s="215">
        <v>6111000400</v>
      </c>
    </row>
    <row r="336" spans="1:13" ht="16.2" thickBot="1" x14ac:dyDescent="0.35">
      <c r="A336" s="215"/>
      <c r="B336" s="224">
        <v>44117</v>
      </c>
      <c r="C336" s="226">
        <v>39</v>
      </c>
      <c r="D336" s="226">
        <v>39</v>
      </c>
      <c r="E336" s="226">
        <v>1</v>
      </c>
      <c r="F336" s="225"/>
      <c r="G336" s="215" t="s">
        <v>813</v>
      </c>
      <c r="H336" s="226">
        <v>39</v>
      </c>
      <c r="I336" s="226">
        <v>39</v>
      </c>
      <c r="J336" s="226">
        <v>38</v>
      </c>
      <c r="K336" s="226">
        <v>0</v>
      </c>
      <c r="L336" s="215" t="s">
        <v>1073</v>
      </c>
      <c r="M336" s="215">
        <v>6111000400</v>
      </c>
    </row>
    <row r="337" spans="1:13" ht="16.2" thickBot="1" x14ac:dyDescent="0.35">
      <c r="A337" s="215"/>
      <c r="B337" s="224">
        <v>44119</v>
      </c>
      <c r="C337" s="226">
        <v>1</v>
      </c>
      <c r="D337" s="226">
        <v>1</v>
      </c>
      <c r="E337" s="226">
        <v>1</v>
      </c>
      <c r="F337" s="225"/>
      <c r="G337" s="215" t="s">
        <v>813</v>
      </c>
      <c r="H337" s="226">
        <v>1</v>
      </c>
      <c r="I337" s="226">
        <v>1</v>
      </c>
      <c r="J337" s="226">
        <v>1</v>
      </c>
      <c r="K337" s="226">
        <v>0</v>
      </c>
      <c r="L337" s="215" t="s">
        <v>1073</v>
      </c>
      <c r="M337" s="215">
        <v>6111000304</v>
      </c>
    </row>
    <row r="338" spans="1:13" ht="31.8" thickBot="1" x14ac:dyDescent="0.35">
      <c r="A338" s="215"/>
      <c r="B338" s="224">
        <v>44120</v>
      </c>
      <c r="C338" s="226">
        <v>9</v>
      </c>
      <c r="D338" s="226">
        <v>9</v>
      </c>
      <c r="E338" s="226">
        <v>1</v>
      </c>
      <c r="F338" s="225"/>
      <c r="G338" s="215" t="s">
        <v>813</v>
      </c>
      <c r="H338" s="226">
        <v>9</v>
      </c>
      <c r="I338" s="226">
        <v>9</v>
      </c>
      <c r="J338" s="226">
        <v>8</v>
      </c>
      <c r="K338" s="226">
        <v>0</v>
      </c>
      <c r="L338" s="215" t="s">
        <v>1073</v>
      </c>
      <c r="M338" s="215" t="s">
        <v>1140</v>
      </c>
    </row>
    <row r="339" spans="1:13" ht="31.8" thickBot="1" x14ac:dyDescent="0.35">
      <c r="A339" s="215"/>
      <c r="B339" s="224">
        <v>44121</v>
      </c>
      <c r="C339" s="226">
        <v>56</v>
      </c>
      <c r="D339" s="226">
        <v>56</v>
      </c>
      <c r="E339" s="226">
        <v>1</v>
      </c>
      <c r="F339" s="225"/>
      <c r="G339" s="215" t="s">
        <v>813</v>
      </c>
      <c r="H339" s="226">
        <v>56</v>
      </c>
      <c r="I339" s="226">
        <v>56</v>
      </c>
      <c r="J339" s="226">
        <v>48</v>
      </c>
      <c r="K339" s="226">
        <v>0</v>
      </c>
      <c r="L339" s="215" t="s">
        <v>1073</v>
      </c>
      <c r="M339" s="215" t="s">
        <v>1141</v>
      </c>
    </row>
    <row r="340" spans="1:13" ht="63" thickBot="1" x14ac:dyDescent="0.35">
      <c r="A340" s="215"/>
      <c r="B340" s="224">
        <v>44122</v>
      </c>
      <c r="C340" s="226">
        <v>453</v>
      </c>
      <c r="D340" s="226">
        <v>454</v>
      </c>
      <c r="E340" s="226">
        <v>3</v>
      </c>
      <c r="F340" s="225"/>
      <c r="G340" s="215" t="s">
        <v>813</v>
      </c>
      <c r="H340" s="226">
        <v>1359</v>
      </c>
      <c r="I340" s="226">
        <v>1362</v>
      </c>
      <c r="J340" s="226">
        <v>1303</v>
      </c>
      <c r="K340" s="226">
        <v>0</v>
      </c>
      <c r="L340" s="215" t="s">
        <v>1142</v>
      </c>
      <c r="M340" s="215" t="s">
        <v>1143</v>
      </c>
    </row>
    <row r="341" spans="1:13" ht="94.2" thickBot="1" x14ac:dyDescent="0.35">
      <c r="A341" s="215"/>
      <c r="B341" s="224">
        <v>44123</v>
      </c>
      <c r="C341" s="226">
        <v>1012</v>
      </c>
      <c r="D341" s="226">
        <v>1013</v>
      </c>
      <c r="E341" s="226">
        <v>5</v>
      </c>
      <c r="F341" s="225"/>
      <c r="G341" s="215" t="s">
        <v>813</v>
      </c>
      <c r="H341" s="226">
        <v>5061</v>
      </c>
      <c r="I341" s="226">
        <v>5063</v>
      </c>
      <c r="J341" s="226">
        <v>4667</v>
      </c>
      <c r="K341" s="226">
        <v>0</v>
      </c>
      <c r="L341" s="215" t="s">
        <v>1076</v>
      </c>
      <c r="M341" s="215" t="s">
        <v>1144</v>
      </c>
    </row>
    <row r="342" spans="1:13" ht="16.2" thickBot="1" x14ac:dyDescent="0.35">
      <c r="A342" s="215"/>
      <c r="B342" s="224">
        <v>44124</v>
      </c>
      <c r="C342" s="226">
        <v>6</v>
      </c>
      <c r="D342" s="226">
        <v>6</v>
      </c>
      <c r="E342" s="226">
        <v>1</v>
      </c>
      <c r="F342" s="225"/>
      <c r="G342" s="215" t="s">
        <v>813</v>
      </c>
      <c r="H342" s="226">
        <v>6</v>
      </c>
      <c r="I342" s="226">
        <v>6</v>
      </c>
      <c r="J342" s="226">
        <v>5</v>
      </c>
      <c r="K342" s="226">
        <v>0</v>
      </c>
      <c r="L342" s="215" t="s">
        <v>1073</v>
      </c>
      <c r="M342" s="215">
        <v>6111001302</v>
      </c>
    </row>
    <row r="343" spans="1:13" ht="16.2" thickBot="1" x14ac:dyDescent="0.35">
      <c r="A343" s="215"/>
      <c r="B343" s="224">
        <v>44125</v>
      </c>
      <c r="C343" s="226">
        <v>3</v>
      </c>
      <c r="D343" s="226">
        <v>3</v>
      </c>
      <c r="E343" s="226">
        <v>1</v>
      </c>
      <c r="F343" s="225"/>
      <c r="G343" s="215" t="s">
        <v>813</v>
      </c>
      <c r="H343" s="226">
        <v>3</v>
      </c>
      <c r="I343" s="226">
        <v>3</v>
      </c>
      <c r="J343" s="226">
        <v>2</v>
      </c>
      <c r="K343" s="226">
        <v>0</v>
      </c>
      <c r="L343" s="215" t="s">
        <v>1073</v>
      </c>
      <c r="M343" s="215">
        <v>6111009300</v>
      </c>
    </row>
    <row r="344" spans="1:13" ht="16.2" thickBot="1" x14ac:dyDescent="0.35">
      <c r="A344" s="215"/>
      <c r="B344" s="224">
        <v>44127</v>
      </c>
      <c r="C344" s="226">
        <v>76</v>
      </c>
      <c r="D344" s="226">
        <v>76</v>
      </c>
      <c r="E344" s="226">
        <v>1</v>
      </c>
      <c r="F344" s="225" t="s">
        <v>1145</v>
      </c>
      <c r="G344" s="215" t="s">
        <v>813</v>
      </c>
      <c r="H344" s="226">
        <v>76</v>
      </c>
      <c r="I344" s="226">
        <v>76</v>
      </c>
      <c r="J344" s="226">
        <v>70</v>
      </c>
      <c r="K344" s="226">
        <v>0</v>
      </c>
      <c r="L344" s="215" t="s">
        <v>1073</v>
      </c>
      <c r="M344" s="215">
        <v>6111009300</v>
      </c>
    </row>
    <row r="345" spans="1:13" ht="16.2" thickBot="1" x14ac:dyDescent="0.35">
      <c r="A345" s="215"/>
      <c r="B345" s="224">
        <v>44128</v>
      </c>
      <c r="C345" s="226">
        <v>2</v>
      </c>
      <c r="D345" s="226">
        <v>4</v>
      </c>
      <c r="E345" s="226">
        <v>1</v>
      </c>
      <c r="F345" s="225"/>
      <c r="G345" s="215" t="s">
        <v>813</v>
      </c>
      <c r="H345" s="226">
        <v>2</v>
      </c>
      <c r="I345" s="226">
        <v>4</v>
      </c>
      <c r="J345" s="226">
        <v>4</v>
      </c>
      <c r="K345" s="226">
        <v>0</v>
      </c>
      <c r="L345" s="215" t="s">
        <v>1073</v>
      </c>
      <c r="M345" s="215">
        <v>6111009300</v>
      </c>
    </row>
    <row r="346" spans="1:13" ht="409.6" thickBot="1" x14ac:dyDescent="0.35">
      <c r="A346" s="215"/>
      <c r="B346" s="224">
        <v>44129</v>
      </c>
      <c r="C346" s="226">
        <v>4488</v>
      </c>
      <c r="D346" s="226">
        <v>4514</v>
      </c>
      <c r="E346" s="226">
        <v>10</v>
      </c>
      <c r="F346" s="225"/>
      <c r="G346" s="215" t="s">
        <v>813</v>
      </c>
      <c r="H346" s="226">
        <v>44881</v>
      </c>
      <c r="I346" s="226">
        <v>45135</v>
      </c>
      <c r="J346" s="226">
        <v>42636</v>
      </c>
      <c r="K346" s="226">
        <v>3</v>
      </c>
      <c r="L346" s="215" t="s">
        <v>1102</v>
      </c>
      <c r="M346" s="215" t="s">
        <v>1146</v>
      </c>
    </row>
    <row r="347" spans="1:13" ht="31.8" thickBot="1" x14ac:dyDescent="0.35">
      <c r="A347" s="215"/>
      <c r="B347" s="224">
        <v>44131</v>
      </c>
      <c r="C347" s="226">
        <v>632</v>
      </c>
      <c r="D347" s="226">
        <v>632</v>
      </c>
      <c r="E347" s="226">
        <v>1</v>
      </c>
      <c r="F347" s="225"/>
      <c r="G347" s="215" t="s">
        <v>813</v>
      </c>
      <c r="H347" s="226">
        <v>632</v>
      </c>
      <c r="I347" s="226">
        <v>632</v>
      </c>
      <c r="J347" s="226">
        <v>574</v>
      </c>
      <c r="K347" s="226">
        <v>0</v>
      </c>
      <c r="L347" s="215" t="s">
        <v>1073</v>
      </c>
      <c r="M347" s="215" t="s">
        <v>1147</v>
      </c>
    </row>
    <row r="348" spans="1:13" ht="16.2" thickBot="1" x14ac:dyDescent="0.35">
      <c r="A348" s="215"/>
      <c r="B348" s="224">
        <v>44132</v>
      </c>
      <c r="C348" s="226">
        <v>25</v>
      </c>
      <c r="D348" s="226">
        <v>25</v>
      </c>
      <c r="E348" s="226">
        <v>1</v>
      </c>
      <c r="F348" s="225"/>
      <c r="G348" s="215" t="s">
        <v>813</v>
      </c>
      <c r="H348" s="226">
        <v>25</v>
      </c>
      <c r="I348" s="226">
        <v>25</v>
      </c>
      <c r="J348" s="226">
        <v>19</v>
      </c>
      <c r="K348" s="226">
        <v>0</v>
      </c>
      <c r="L348" s="215" t="s">
        <v>1073</v>
      </c>
      <c r="M348" s="215">
        <v>6111009300</v>
      </c>
    </row>
    <row r="349" spans="1:13" ht="16.2" thickBot="1" x14ac:dyDescent="0.35">
      <c r="A349" s="215"/>
      <c r="B349" s="224">
        <v>44134</v>
      </c>
      <c r="C349" s="226">
        <v>12</v>
      </c>
      <c r="D349" s="226">
        <v>12</v>
      </c>
      <c r="E349" s="226">
        <v>1</v>
      </c>
      <c r="F349" s="225"/>
      <c r="G349" s="215" t="s">
        <v>813</v>
      </c>
      <c r="H349" s="226">
        <v>12</v>
      </c>
      <c r="I349" s="226">
        <v>12</v>
      </c>
      <c r="J349" s="226">
        <v>10</v>
      </c>
      <c r="K349" s="226">
        <v>0</v>
      </c>
      <c r="L349" s="215" t="s">
        <v>1073</v>
      </c>
      <c r="M349" s="215">
        <v>6111009300</v>
      </c>
    </row>
    <row r="350" spans="1:13" ht="16.2" thickBot="1" x14ac:dyDescent="0.35">
      <c r="A350" s="215"/>
      <c r="B350" s="224">
        <v>44135</v>
      </c>
      <c r="C350" s="226">
        <v>37</v>
      </c>
      <c r="D350" s="226">
        <v>37</v>
      </c>
      <c r="E350" s="226">
        <v>1</v>
      </c>
      <c r="F350" s="225"/>
      <c r="G350" s="215" t="s">
        <v>813</v>
      </c>
      <c r="H350" s="226">
        <v>37</v>
      </c>
      <c r="I350" s="226">
        <v>37</v>
      </c>
      <c r="J350" s="226">
        <v>32</v>
      </c>
      <c r="K350" s="226">
        <v>0</v>
      </c>
      <c r="L350" s="215" t="s">
        <v>1073</v>
      </c>
      <c r="M350" s="215">
        <v>6111009300</v>
      </c>
    </row>
    <row r="351" spans="1:13" ht="63" thickBot="1" x14ac:dyDescent="0.35">
      <c r="A351" s="215"/>
      <c r="B351" s="224">
        <v>44136</v>
      </c>
      <c r="C351" s="226">
        <v>1372</v>
      </c>
      <c r="D351" s="226">
        <v>1399</v>
      </c>
      <c r="E351" s="226">
        <v>2</v>
      </c>
      <c r="F351" s="225"/>
      <c r="G351" s="215" t="s">
        <v>813</v>
      </c>
      <c r="H351" s="226">
        <v>2744</v>
      </c>
      <c r="I351" s="226">
        <v>2798</v>
      </c>
      <c r="J351" s="226">
        <v>2625</v>
      </c>
      <c r="K351" s="226">
        <v>0</v>
      </c>
      <c r="L351" s="215" t="s">
        <v>1121</v>
      </c>
      <c r="M351" s="215" t="s">
        <v>1148</v>
      </c>
    </row>
    <row r="352" spans="1:13" ht="409.6" thickBot="1" x14ac:dyDescent="0.35">
      <c r="A352" s="215"/>
      <c r="B352" s="224">
        <v>44137</v>
      </c>
      <c r="C352" s="226">
        <v>8889</v>
      </c>
      <c r="D352" s="226">
        <v>9031</v>
      </c>
      <c r="E352" s="226">
        <v>6</v>
      </c>
      <c r="F352" s="225"/>
      <c r="G352" s="215" t="s">
        <v>813</v>
      </c>
      <c r="H352" s="226">
        <v>53335</v>
      </c>
      <c r="I352" s="226">
        <v>54186</v>
      </c>
      <c r="J352" s="226">
        <v>51831</v>
      </c>
      <c r="K352" s="226">
        <v>1</v>
      </c>
      <c r="L352" s="215" t="s">
        <v>1080</v>
      </c>
      <c r="M352" s="215" t="s">
        <v>1149</v>
      </c>
    </row>
    <row r="353" spans="1:13" ht="203.4" thickBot="1" x14ac:dyDescent="0.35">
      <c r="A353" s="215"/>
      <c r="B353" s="224">
        <v>44138</v>
      </c>
      <c r="C353" s="226">
        <v>3901</v>
      </c>
      <c r="D353" s="226">
        <v>3928</v>
      </c>
      <c r="E353" s="226">
        <v>4</v>
      </c>
      <c r="F353" s="225"/>
      <c r="G353" s="215" t="s">
        <v>813</v>
      </c>
      <c r="H353" s="226">
        <v>15602</v>
      </c>
      <c r="I353" s="226">
        <v>15710</v>
      </c>
      <c r="J353" s="226">
        <v>14566</v>
      </c>
      <c r="K353" s="226">
        <v>2</v>
      </c>
      <c r="L353" s="215" t="s">
        <v>1102</v>
      </c>
      <c r="M353" s="215" t="s">
        <v>1150</v>
      </c>
    </row>
    <row r="354" spans="1:13" ht="31.8" thickBot="1" x14ac:dyDescent="0.35">
      <c r="A354" s="215"/>
      <c r="B354" s="224">
        <v>44139</v>
      </c>
      <c r="C354" s="226">
        <v>2097</v>
      </c>
      <c r="D354" s="226">
        <v>2098</v>
      </c>
      <c r="E354" s="226">
        <v>2</v>
      </c>
      <c r="F354" s="225"/>
      <c r="G354" s="215" t="s">
        <v>813</v>
      </c>
      <c r="H354" s="226">
        <v>4194</v>
      </c>
      <c r="I354" s="226">
        <v>4195</v>
      </c>
      <c r="J354" s="226">
        <v>4103</v>
      </c>
      <c r="K354" s="226">
        <v>0</v>
      </c>
      <c r="L354" s="215" t="s">
        <v>1076</v>
      </c>
      <c r="M354" s="215" t="s">
        <v>1151</v>
      </c>
    </row>
    <row r="355" spans="1:13" ht="31.8" thickBot="1" x14ac:dyDescent="0.35">
      <c r="A355" s="215"/>
      <c r="B355" s="224">
        <v>44140</v>
      </c>
      <c r="C355" s="226">
        <v>5</v>
      </c>
      <c r="D355" s="226">
        <v>5</v>
      </c>
      <c r="E355" s="226">
        <v>1</v>
      </c>
      <c r="F355" s="225"/>
      <c r="G355" s="215" t="s">
        <v>813</v>
      </c>
      <c r="H355" s="226">
        <v>5</v>
      </c>
      <c r="I355" s="226">
        <v>5</v>
      </c>
      <c r="J355" s="226">
        <v>4</v>
      </c>
      <c r="K355" s="226">
        <v>0</v>
      </c>
      <c r="L355" s="215" t="s">
        <v>1073</v>
      </c>
      <c r="M355" s="215" t="s">
        <v>1152</v>
      </c>
    </row>
    <row r="356" spans="1:13" ht="250.2" thickBot="1" x14ac:dyDescent="0.35">
      <c r="A356" s="215"/>
      <c r="B356" s="224">
        <v>44141</v>
      </c>
      <c r="C356" s="226">
        <v>3594</v>
      </c>
      <c r="D356" s="226">
        <v>3621</v>
      </c>
      <c r="E356" s="226">
        <v>7</v>
      </c>
      <c r="F356" s="225"/>
      <c r="G356" s="215" t="s">
        <v>813</v>
      </c>
      <c r="H356" s="226">
        <v>25157</v>
      </c>
      <c r="I356" s="226">
        <v>25344</v>
      </c>
      <c r="J356" s="226">
        <v>23130</v>
      </c>
      <c r="K356" s="226">
        <v>2</v>
      </c>
      <c r="L356" s="215" t="s">
        <v>1073</v>
      </c>
      <c r="M356" s="215" t="s">
        <v>1153</v>
      </c>
    </row>
    <row r="357" spans="1:13" ht="31.8" thickBot="1" x14ac:dyDescent="0.35">
      <c r="A357" s="215"/>
      <c r="B357" s="224">
        <v>44143</v>
      </c>
      <c r="C357" s="226">
        <v>1465</v>
      </c>
      <c r="D357" s="226">
        <v>1721</v>
      </c>
      <c r="E357" s="226">
        <v>1</v>
      </c>
      <c r="F357" s="225"/>
      <c r="G357" s="215" t="s">
        <v>813</v>
      </c>
      <c r="H357" s="226">
        <v>1465</v>
      </c>
      <c r="I357" s="226">
        <v>1721</v>
      </c>
      <c r="J357" s="226">
        <v>1575</v>
      </c>
      <c r="K357" s="226">
        <v>0</v>
      </c>
      <c r="L357" s="215" t="s">
        <v>1073</v>
      </c>
      <c r="M357" s="215" t="s">
        <v>1154</v>
      </c>
    </row>
    <row r="358" spans="1:13" ht="31.8" thickBot="1" x14ac:dyDescent="0.35">
      <c r="A358" s="215"/>
      <c r="B358" s="224">
        <v>44144</v>
      </c>
      <c r="C358" s="226">
        <v>616</v>
      </c>
      <c r="D358" s="226">
        <v>616</v>
      </c>
      <c r="E358" s="226">
        <v>1</v>
      </c>
      <c r="F358" s="225"/>
      <c r="G358" s="215" t="s">
        <v>813</v>
      </c>
      <c r="H358" s="226">
        <v>616</v>
      </c>
      <c r="I358" s="226">
        <v>616</v>
      </c>
      <c r="J358" s="226">
        <v>593</v>
      </c>
      <c r="K358" s="226">
        <v>0</v>
      </c>
      <c r="L358" s="215" t="s">
        <v>1073</v>
      </c>
      <c r="M358" s="215" t="s">
        <v>1152</v>
      </c>
    </row>
    <row r="359" spans="1:13" ht="109.8" thickBot="1" x14ac:dyDescent="0.35">
      <c r="A359" s="215"/>
      <c r="B359" s="224">
        <v>44145</v>
      </c>
      <c r="C359" s="226">
        <v>3123</v>
      </c>
      <c r="D359" s="226">
        <v>3124</v>
      </c>
      <c r="E359" s="226">
        <v>1</v>
      </c>
      <c r="F359" s="225"/>
      <c r="G359" s="215" t="s">
        <v>813</v>
      </c>
      <c r="H359" s="226">
        <v>3123</v>
      </c>
      <c r="I359" s="226">
        <v>3124</v>
      </c>
      <c r="J359" s="226">
        <v>3027</v>
      </c>
      <c r="K359" s="226">
        <v>0</v>
      </c>
      <c r="L359" s="215" t="s">
        <v>1061</v>
      </c>
      <c r="M359" s="215" t="s">
        <v>1155</v>
      </c>
    </row>
    <row r="360" spans="1:13" ht="16.2" thickBot="1" x14ac:dyDescent="0.35">
      <c r="A360" s="215"/>
      <c r="B360" s="224">
        <v>44147</v>
      </c>
      <c r="C360" s="226">
        <v>28</v>
      </c>
      <c r="D360" s="226">
        <v>28</v>
      </c>
      <c r="E360" s="226">
        <v>1</v>
      </c>
      <c r="F360" s="225"/>
      <c r="G360" s="215" t="s">
        <v>813</v>
      </c>
      <c r="H360" s="226">
        <v>28</v>
      </c>
      <c r="I360" s="226">
        <v>28</v>
      </c>
      <c r="J360" s="226">
        <v>23</v>
      </c>
      <c r="K360" s="226">
        <v>0</v>
      </c>
      <c r="L360" s="215" t="s">
        <v>1070</v>
      </c>
      <c r="M360" s="215">
        <v>6079012302</v>
      </c>
    </row>
    <row r="361" spans="1:13" ht="16.2" thickBot="1" x14ac:dyDescent="0.35">
      <c r="A361" s="215"/>
      <c r="B361" s="224">
        <v>44148</v>
      </c>
      <c r="C361" s="226">
        <v>5</v>
      </c>
      <c r="D361" s="226">
        <v>5</v>
      </c>
      <c r="E361" s="226">
        <v>1</v>
      </c>
      <c r="F361" s="225"/>
      <c r="G361" s="215" t="s">
        <v>813</v>
      </c>
      <c r="H361" s="226">
        <v>5</v>
      </c>
      <c r="I361" s="226">
        <v>5</v>
      </c>
      <c r="J361" s="226">
        <v>5</v>
      </c>
      <c r="K361" s="226">
        <v>0</v>
      </c>
      <c r="L361" s="215" t="s">
        <v>1121</v>
      </c>
      <c r="M361" s="215">
        <v>6079012706</v>
      </c>
    </row>
    <row r="362" spans="1:13" ht="16.2" thickBot="1" x14ac:dyDescent="0.35">
      <c r="A362" s="215"/>
      <c r="B362" s="224">
        <v>44150</v>
      </c>
      <c r="C362" s="226">
        <v>7</v>
      </c>
      <c r="D362" s="226">
        <v>7</v>
      </c>
      <c r="E362" s="226">
        <v>1</v>
      </c>
      <c r="F362" s="225"/>
      <c r="G362" s="215" t="s">
        <v>813</v>
      </c>
      <c r="H362" s="226">
        <v>7</v>
      </c>
      <c r="I362" s="226">
        <v>7</v>
      </c>
      <c r="J362" s="226">
        <v>5</v>
      </c>
      <c r="K362" s="226">
        <v>0</v>
      </c>
      <c r="L362" s="215" t="s">
        <v>1070</v>
      </c>
      <c r="M362" s="215">
        <v>6079012302</v>
      </c>
    </row>
    <row r="363" spans="1:13" ht="16.2" thickBot="1" x14ac:dyDescent="0.35">
      <c r="A363" s="215"/>
      <c r="B363" s="224">
        <v>44151</v>
      </c>
      <c r="C363" s="226">
        <v>11</v>
      </c>
      <c r="D363" s="226">
        <v>11</v>
      </c>
      <c r="E363" s="226">
        <v>1</v>
      </c>
      <c r="F363" s="225"/>
      <c r="G363" s="215" t="s">
        <v>813</v>
      </c>
      <c r="H363" s="226">
        <v>11</v>
      </c>
      <c r="I363" s="226">
        <v>11</v>
      </c>
      <c r="J363" s="226">
        <v>9</v>
      </c>
      <c r="K363" s="226">
        <v>0</v>
      </c>
      <c r="L363" s="215" t="s">
        <v>1121</v>
      </c>
      <c r="M363" s="215">
        <v>6079012706</v>
      </c>
    </row>
    <row r="364" spans="1:13" ht="16.2" thickBot="1" x14ac:dyDescent="0.35">
      <c r="A364" s="215"/>
      <c r="B364" s="224">
        <v>44152</v>
      </c>
      <c r="C364" s="226">
        <v>13</v>
      </c>
      <c r="D364" s="226">
        <v>13</v>
      </c>
      <c r="E364" s="226">
        <v>1</v>
      </c>
      <c r="F364" s="225"/>
      <c r="G364" s="215" t="s">
        <v>813</v>
      </c>
      <c r="H364" s="226">
        <v>13</v>
      </c>
      <c r="I364" s="226">
        <v>13</v>
      </c>
      <c r="J364" s="226">
        <v>12</v>
      </c>
      <c r="K364" s="226">
        <v>0</v>
      </c>
      <c r="L364" s="215" t="s">
        <v>1070</v>
      </c>
      <c r="M364" s="215">
        <v>6079012302</v>
      </c>
    </row>
    <row r="365" spans="1:13" ht="31.8" thickBot="1" x14ac:dyDescent="0.35">
      <c r="A365" s="215"/>
      <c r="B365" s="224">
        <v>44156</v>
      </c>
      <c r="C365" s="226">
        <v>104</v>
      </c>
      <c r="D365" s="226">
        <v>105</v>
      </c>
      <c r="E365" s="226">
        <v>2</v>
      </c>
      <c r="F365" s="225"/>
      <c r="G365" s="215" t="s">
        <v>813</v>
      </c>
      <c r="H365" s="226">
        <v>207</v>
      </c>
      <c r="I365" s="226">
        <v>210</v>
      </c>
      <c r="J365" s="226">
        <v>181</v>
      </c>
      <c r="K365" s="226">
        <v>0</v>
      </c>
      <c r="L365" s="215" t="s">
        <v>1065</v>
      </c>
      <c r="M365" s="215" t="s">
        <v>1156</v>
      </c>
    </row>
    <row r="366" spans="1:13" ht="31.8" thickBot="1" x14ac:dyDescent="0.35">
      <c r="A366" s="215"/>
      <c r="B366" s="224">
        <v>44158</v>
      </c>
      <c r="C366" s="226">
        <v>18</v>
      </c>
      <c r="D366" s="226">
        <v>20</v>
      </c>
      <c r="E366" s="226">
        <v>3</v>
      </c>
      <c r="F366" s="225"/>
      <c r="G366" s="215" t="s">
        <v>813</v>
      </c>
      <c r="H366" s="226">
        <v>53</v>
      </c>
      <c r="I366" s="226">
        <v>60</v>
      </c>
      <c r="J366" s="226">
        <v>28</v>
      </c>
      <c r="K366" s="226">
        <v>0</v>
      </c>
      <c r="L366" s="215" t="s">
        <v>1065</v>
      </c>
      <c r="M366" s="215" t="s">
        <v>1157</v>
      </c>
    </row>
    <row r="367" spans="1:13" ht="16.2" thickBot="1" x14ac:dyDescent="0.35">
      <c r="A367" s="215"/>
      <c r="B367" s="224">
        <v>44161</v>
      </c>
      <c r="C367" s="226">
        <v>499</v>
      </c>
      <c r="D367" s="226">
        <v>506</v>
      </c>
      <c r="E367" s="226">
        <v>1</v>
      </c>
      <c r="F367" s="225"/>
      <c r="G367" s="215" t="s">
        <v>813</v>
      </c>
      <c r="H367" s="226">
        <v>499</v>
      </c>
      <c r="I367" s="226">
        <v>506</v>
      </c>
      <c r="J367" s="226">
        <v>424</v>
      </c>
      <c r="K367" s="226">
        <v>0</v>
      </c>
      <c r="L367" s="215" t="s">
        <v>1066</v>
      </c>
      <c r="M367" s="215">
        <v>6029006600</v>
      </c>
    </row>
    <row r="368" spans="1:13" ht="16.2" thickBot="1" x14ac:dyDescent="0.35">
      <c r="A368" s="215"/>
      <c r="B368" s="224">
        <v>44162</v>
      </c>
      <c r="C368" s="226">
        <v>4</v>
      </c>
      <c r="D368" s="226">
        <v>4</v>
      </c>
      <c r="E368" s="226">
        <v>1</v>
      </c>
      <c r="F368" s="225"/>
      <c r="G368" s="215" t="s">
        <v>813</v>
      </c>
      <c r="H368" s="226">
        <v>4</v>
      </c>
      <c r="I368" s="226">
        <v>4</v>
      </c>
      <c r="J368" s="226">
        <v>2</v>
      </c>
      <c r="K368" s="226">
        <v>2</v>
      </c>
      <c r="L368" s="215" t="s">
        <v>1065</v>
      </c>
      <c r="M368" s="215">
        <v>6019003900</v>
      </c>
    </row>
    <row r="369" spans="1:13" ht="47.4" thickBot="1" x14ac:dyDescent="0.35">
      <c r="A369" s="215"/>
      <c r="B369" s="224">
        <v>44163</v>
      </c>
      <c r="C369" s="226">
        <v>4052</v>
      </c>
      <c r="D369" s="226">
        <v>4052</v>
      </c>
      <c r="E369" s="226">
        <v>1</v>
      </c>
      <c r="F369" s="225"/>
      <c r="G369" s="215" t="s">
        <v>813</v>
      </c>
      <c r="H369" s="226">
        <v>4052</v>
      </c>
      <c r="I369" s="226">
        <v>4052</v>
      </c>
      <c r="J369" s="226">
        <v>3448</v>
      </c>
      <c r="K369" s="226">
        <v>1</v>
      </c>
      <c r="L369" s="215" t="s">
        <v>1061</v>
      </c>
      <c r="M369" s="215" t="s">
        <v>1158</v>
      </c>
    </row>
    <row r="370" spans="1:13" ht="16.2" thickBot="1" x14ac:dyDescent="0.35">
      <c r="A370" s="215"/>
      <c r="B370" s="224">
        <v>44164</v>
      </c>
      <c r="C370" s="226">
        <v>763</v>
      </c>
      <c r="D370" s="226">
        <v>763</v>
      </c>
      <c r="E370" s="226">
        <v>1</v>
      </c>
      <c r="F370" s="225"/>
      <c r="G370" s="215" t="s">
        <v>813</v>
      </c>
      <c r="H370" s="226">
        <v>763</v>
      </c>
      <c r="I370" s="226">
        <v>763</v>
      </c>
      <c r="J370" s="226">
        <v>721</v>
      </c>
      <c r="K370" s="226">
        <v>0</v>
      </c>
      <c r="L370" s="215" t="s">
        <v>1065</v>
      </c>
      <c r="M370" s="215">
        <v>6019007500</v>
      </c>
    </row>
    <row r="371" spans="1:13" ht="16.2" thickBot="1" x14ac:dyDescent="0.35">
      <c r="A371" s="215"/>
      <c r="B371" s="224">
        <v>44166</v>
      </c>
      <c r="C371" s="226">
        <v>22</v>
      </c>
      <c r="D371" s="226">
        <v>22</v>
      </c>
      <c r="E371" s="226">
        <v>1</v>
      </c>
      <c r="F371" s="225"/>
      <c r="G371" s="215" t="s">
        <v>813</v>
      </c>
      <c r="H371" s="226">
        <v>22</v>
      </c>
      <c r="I371" s="226">
        <v>22</v>
      </c>
      <c r="J371" s="226">
        <v>18</v>
      </c>
      <c r="K371" s="226">
        <v>0</v>
      </c>
      <c r="L371" s="215" t="s">
        <v>1065</v>
      </c>
      <c r="M371" s="215">
        <v>6019007500</v>
      </c>
    </row>
    <row r="372" spans="1:13" ht="16.2" thickBot="1" x14ac:dyDescent="0.35">
      <c r="A372" s="215"/>
      <c r="B372" s="224">
        <v>44167</v>
      </c>
      <c r="C372" s="226">
        <v>36</v>
      </c>
      <c r="D372" s="226">
        <v>37</v>
      </c>
      <c r="E372" s="226">
        <v>1</v>
      </c>
      <c r="F372" s="225"/>
      <c r="G372" s="215" t="s">
        <v>813</v>
      </c>
      <c r="H372" s="226">
        <v>36</v>
      </c>
      <c r="I372" s="226">
        <v>37</v>
      </c>
      <c r="J372" s="226">
        <v>35</v>
      </c>
      <c r="K372" s="226">
        <v>0</v>
      </c>
      <c r="L372" s="215" t="s">
        <v>1070</v>
      </c>
      <c r="M372" s="215">
        <v>6079010504</v>
      </c>
    </row>
    <row r="373" spans="1:13" ht="16.2" thickBot="1" x14ac:dyDescent="0.35">
      <c r="A373" s="215"/>
      <c r="B373" s="224">
        <v>44168</v>
      </c>
      <c r="C373" s="226">
        <v>772</v>
      </c>
      <c r="D373" s="226">
        <v>798</v>
      </c>
      <c r="E373" s="226">
        <v>1</v>
      </c>
      <c r="F373" s="225"/>
      <c r="G373" s="215" t="s">
        <v>813</v>
      </c>
      <c r="H373" s="226">
        <v>772</v>
      </c>
      <c r="I373" s="226">
        <v>798</v>
      </c>
      <c r="J373" s="226">
        <v>716</v>
      </c>
      <c r="K373" s="226">
        <v>0</v>
      </c>
      <c r="L373" s="215" t="s">
        <v>1070</v>
      </c>
      <c r="M373" s="215">
        <v>6079010504</v>
      </c>
    </row>
    <row r="374" spans="1:13" ht="109.8" thickBot="1" x14ac:dyDescent="0.35">
      <c r="A374" s="215"/>
      <c r="B374" s="224">
        <v>44169</v>
      </c>
      <c r="C374" s="226">
        <v>1103</v>
      </c>
      <c r="D374" s="226">
        <v>1181</v>
      </c>
      <c r="E374" s="226">
        <v>4</v>
      </c>
      <c r="F374" s="225"/>
      <c r="G374" s="215" t="s">
        <v>813</v>
      </c>
      <c r="H374" s="226">
        <v>4413</v>
      </c>
      <c r="I374" s="226">
        <v>4723</v>
      </c>
      <c r="J374" s="226">
        <v>4210</v>
      </c>
      <c r="K374" s="226">
        <v>0</v>
      </c>
      <c r="L374" s="215" t="s">
        <v>1065</v>
      </c>
      <c r="M374" s="215" t="s">
        <v>1159</v>
      </c>
    </row>
    <row r="375" spans="1:13" ht="16.2" thickBot="1" x14ac:dyDescent="0.35">
      <c r="A375" s="215"/>
      <c r="B375" s="224">
        <v>44170</v>
      </c>
      <c r="C375" s="226">
        <v>21</v>
      </c>
      <c r="D375" s="226">
        <v>21</v>
      </c>
      <c r="E375" s="226">
        <v>1</v>
      </c>
      <c r="F375" s="225"/>
      <c r="G375" s="215" t="s">
        <v>813</v>
      </c>
      <c r="H375" s="226">
        <v>21</v>
      </c>
      <c r="I375" s="226">
        <v>21</v>
      </c>
      <c r="J375" s="226">
        <v>17</v>
      </c>
      <c r="K375" s="226">
        <v>0</v>
      </c>
      <c r="L375" s="215" t="s">
        <v>1065</v>
      </c>
      <c r="M375" s="215">
        <v>6031001300</v>
      </c>
    </row>
    <row r="376" spans="1:13" ht="63" thickBot="1" x14ac:dyDescent="0.35">
      <c r="A376" s="215"/>
      <c r="B376" s="224">
        <v>44172</v>
      </c>
      <c r="C376" s="226">
        <v>1779</v>
      </c>
      <c r="D376" s="226">
        <v>1782</v>
      </c>
      <c r="E376" s="226">
        <v>2</v>
      </c>
      <c r="F376" s="225"/>
      <c r="G376" s="215" t="s">
        <v>813</v>
      </c>
      <c r="H376" s="226">
        <v>3558</v>
      </c>
      <c r="I376" s="226">
        <v>3564</v>
      </c>
      <c r="J376" s="226">
        <v>3217</v>
      </c>
      <c r="K376" s="226">
        <v>0</v>
      </c>
      <c r="L376" s="215" t="s">
        <v>1065</v>
      </c>
      <c r="M376" s="215" t="s">
        <v>1160</v>
      </c>
    </row>
    <row r="377" spans="1:13" ht="16.2" thickBot="1" x14ac:dyDescent="0.35">
      <c r="A377" s="215"/>
      <c r="B377" s="224">
        <v>44174</v>
      </c>
      <c r="C377" s="226">
        <v>228</v>
      </c>
      <c r="D377" s="226">
        <v>228</v>
      </c>
      <c r="E377" s="226">
        <v>1</v>
      </c>
      <c r="F377" s="225"/>
      <c r="G377" s="215" t="s">
        <v>813</v>
      </c>
      <c r="H377" s="226">
        <v>228</v>
      </c>
      <c r="I377" s="226">
        <v>228</v>
      </c>
      <c r="J377" s="226">
        <v>201</v>
      </c>
      <c r="K377" s="226">
        <v>0</v>
      </c>
      <c r="L377" s="215" t="s">
        <v>1066</v>
      </c>
      <c r="M377" s="215">
        <v>6083001800</v>
      </c>
    </row>
    <row r="378" spans="1:13" ht="16.2" thickBot="1" x14ac:dyDescent="0.35">
      <c r="A378" s="215"/>
      <c r="B378" s="224">
        <v>44175</v>
      </c>
      <c r="C378" s="226">
        <v>19</v>
      </c>
      <c r="D378" s="226">
        <v>20</v>
      </c>
      <c r="E378" s="226">
        <v>1</v>
      </c>
      <c r="F378" s="225"/>
      <c r="G378" s="215" t="s">
        <v>813</v>
      </c>
      <c r="H378" s="226">
        <v>19</v>
      </c>
      <c r="I378" s="226">
        <v>20</v>
      </c>
      <c r="J378" s="226">
        <v>12</v>
      </c>
      <c r="K378" s="226">
        <v>0</v>
      </c>
      <c r="L378" s="215" t="s">
        <v>1066</v>
      </c>
      <c r="M378" s="215">
        <v>6083001800</v>
      </c>
    </row>
    <row r="379" spans="1:13" ht="16.2" thickBot="1" x14ac:dyDescent="0.35">
      <c r="A379" s="215"/>
      <c r="B379" s="224">
        <v>44176</v>
      </c>
      <c r="C379" s="226">
        <v>204</v>
      </c>
      <c r="D379" s="226">
        <v>206</v>
      </c>
      <c r="E379" s="226">
        <v>2</v>
      </c>
      <c r="F379" s="225"/>
      <c r="G379" s="215" t="s">
        <v>813</v>
      </c>
      <c r="H379" s="226">
        <v>407</v>
      </c>
      <c r="I379" s="226">
        <v>411</v>
      </c>
      <c r="J379" s="226">
        <v>381</v>
      </c>
      <c r="K379" s="226">
        <v>3</v>
      </c>
      <c r="L379" s="215" t="s">
        <v>1065</v>
      </c>
      <c r="M379" s="215">
        <v>6019006900</v>
      </c>
    </row>
    <row r="380" spans="1:13" ht="234.6" thickBot="1" x14ac:dyDescent="0.35">
      <c r="A380" s="215"/>
      <c r="B380" s="224">
        <v>44178</v>
      </c>
      <c r="C380" s="226">
        <v>3900</v>
      </c>
      <c r="D380" s="226">
        <v>4111</v>
      </c>
      <c r="E380" s="226">
        <v>3</v>
      </c>
      <c r="F380" s="225"/>
      <c r="G380" s="215" t="s">
        <v>813</v>
      </c>
      <c r="H380" s="226">
        <v>11701</v>
      </c>
      <c r="I380" s="226">
        <v>12333</v>
      </c>
      <c r="J380" s="226">
        <v>11435</v>
      </c>
      <c r="K380" s="226">
        <v>1</v>
      </c>
      <c r="L380" s="215" t="s">
        <v>1161</v>
      </c>
      <c r="M380" s="215" t="s">
        <v>1162</v>
      </c>
    </row>
    <row r="381" spans="1:13" ht="16.2" thickBot="1" x14ac:dyDescent="0.35">
      <c r="A381" s="215"/>
      <c r="B381" s="224">
        <v>44180</v>
      </c>
      <c r="C381" s="226">
        <v>46</v>
      </c>
      <c r="D381" s="226">
        <v>46</v>
      </c>
      <c r="E381" s="226">
        <v>1</v>
      </c>
      <c r="F381" s="225"/>
      <c r="G381" s="215" t="s">
        <v>813</v>
      </c>
      <c r="H381" s="226">
        <v>46</v>
      </c>
      <c r="I381" s="226">
        <v>46</v>
      </c>
      <c r="J381" s="226">
        <v>18</v>
      </c>
      <c r="K381" s="226">
        <v>0</v>
      </c>
      <c r="L381" s="215" t="s">
        <v>1066</v>
      </c>
      <c r="M381" s="215">
        <v>6029005003</v>
      </c>
    </row>
    <row r="382" spans="1:13" ht="16.2" thickBot="1" x14ac:dyDescent="0.35">
      <c r="A382" s="215"/>
      <c r="B382" s="224">
        <v>44182</v>
      </c>
      <c r="C382" s="226">
        <v>129</v>
      </c>
      <c r="D382" s="226">
        <v>150</v>
      </c>
      <c r="E382" s="226">
        <v>1</v>
      </c>
      <c r="F382" s="225"/>
      <c r="G382" s="215" t="s">
        <v>813</v>
      </c>
      <c r="H382" s="226">
        <v>129</v>
      </c>
      <c r="I382" s="226">
        <v>150</v>
      </c>
      <c r="J382" s="226">
        <v>94</v>
      </c>
      <c r="K382" s="226">
        <v>2</v>
      </c>
      <c r="L382" s="215" t="s">
        <v>1066</v>
      </c>
      <c r="M382" s="215">
        <v>6029003304</v>
      </c>
    </row>
    <row r="383" spans="1:13" ht="47.4" thickBot="1" x14ac:dyDescent="0.35">
      <c r="A383" s="215"/>
      <c r="B383" s="224">
        <v>44183</v>
      </c>
      <c r="C383" s="226">
        <v>1005</v>
      </c>
      <c r="D383" s="226">
        <v>1018</v>
      </c>
      <c r="E383" s="226">
        <v>1</v>
      </c>
      <c r="F383" s="225"/>
      <c r="G383" s="215" t="s">
        <v>813</v>
      </c>
      <c r="H383" s="226">
        <v>1005</v>
      </c>
      <c r="I383" s="226">
        <v>1018</v>
      </c>
      <c r="J383" s="226">
        <v>985</v>
      </c>
      <c r="K383" s="226">
        <v>0</v>
      </c>
      <c r="L383" s="215" t="s">
        <v>1065</v>
      </c>
      <c r="M383" s="215" t="s">
        <v>1163</v>
      </c>
    </row>
    <row r="384" spans="1:13" ht="94.2" thickBot="1" x14ac:dyDescent="0.35">
      <c r="A384" s="215"/>
      <c r="B384" s="224">
        <v>44184</v>
      </c>
      <c r="C384" s="226">
        <v>2189</v>
      </c>
      <c r="D384" s="226">
        <v>2251</v>
      </c>
      <c r="E384" s="226">
        <v>3</v>
      </c>
      <c r="F384" s="225"/>
      <c r="G384" s="215" t="s">
        <v>813</v>
      </c>
      <c r="H384" s="226">
        <v>6567</v>
      </c>
      <c r="I384" s="226">
        <v>6752</v>
      </c>
      <c r="J384" s="226">
        <v>6244</v>
      </c>
      <c r="K384" s="226">
        <v>0</v>
      </c>
      <c r="L384" s="215" t="s">
        <v>1065</v>
      </c>
      <c r="M384" s="215" t="s">
        <v>1164</v>
      </c>
    </row>
    <row r="385" spans="1:13" ht="16.2" thickBot="1" x14ac:dyDescent="0.35">
      <c r="A385" s="215"/>
      <c r="B385" s="224">
        <v>44186</v>
      </c>
      <c r="C385" s="226">
        <v>3</v>
      </c>
      <c r="D385" s="226">
        <v>3</v>
      </c>
      <c r="E385" s="226">
        <v>1</v>
      </c>
      <c r="F385" s="225"/>
      <c r="G385" s="215" t="s">
        <v>813</v>
      </c>
      <c r="H385" s="226">
        <v>3</v>
      </c>
      <c r="I385" s="226">
        <v>3</v>
      </c>
      <c r="J385" s="226">
        <v>3</v>
      </c>
      <c r="K385" s="226">
        <v>0</v>
      </c>
      <c r="L385" s="215" t="s">
        <v>1065</v>
      </c>
      <c r="M385" s="215">
        <v>6107000502</v>
      </c>
    </row>
    <row r="386" spans="1:13" ht="31.8" thickBot="1" x14ac:dyDescent="0.35">
      <c r="A386" s="215"/>
      <c r="B386" s="224">
        <v>44187</v>
      </c>
      <c r="C386" s="226">
        <v>1917</v>
      </c>
      <c r="D386" s="226">
        <v>1925</v>
      </c>
      <c r="E386" s="226">
        <v>1</v>
      </c>
      <c r="F386" s="225" t="s">
        <v>1165</v>
      </c>
      <c r="G386" s="215" t="s">
        <v>813</v>
      </c>
      <c r="H386" s="226">
        <v>1917</v>
      </c>
      <c r="I386" s="226">
        <v>1925</v>
      </c>
      <c r="J386" s="226">
        <v>1757</v>
      </c>
      <c r="K386" s="226">
        <v>0</v>
      </c>
      <c r="L386" s="215" t="s">
        <v>1065</v>
      </c>
      <c r="M386" s="215" t="s">
        <v>1166</v>
      </c>
    </row>
    <row r="387" spans="1:13" ht="31.8" thickBot="1" x14ac:dyDescent="0.35">
      <c r="A387" s="215"/>
      <c r="B387" s="224">
        <v>44188</v>
      </c>
      <c r="C387" s="226">
        <v>113</v>
      </c>
      <c r="D387" s="226">
        <v>113</v>
      </c>
      <c r="E387" s="226">
        <v>1</v>
      </c>
      <c r="F387" s="225"/>
      <c r="G387" s="215" t="s">
        <v>813</v>
      </c>
      <c r="H387" s="226">
        <v>113</v>
      </c>
      <c r="I387" s="226">
        <v>113</v>
      </c>
      <c r="J387" s="226">
        <v>109</v>
      </c>
      <c r="K387" s="226">
        <v>0</v>
      </c>
      <c r="L387" s="215" t="s">
        <v>1065</v>
      </c>
      <c r="M387" s="215" t="s">
        <v>1167</v>
      </c>
    </row>
    <row r="388" spans="1:13" ht="31.8" thickBot="1" x14ac:dyDescent="0.35">
      <c r="A388" s="215"/>
      <c r="B388" s="224">
        <v>44189</v>
      </c>
      <c r="C388" s="226">
        <v>90</v>
      </c>
      <c r="D388" s="226">
        <v>90</v>
      </c>
      <c r="E388" s="226">
        <v>1</v>
      </c>
      <c r="F388" s="225"/>
      <c r="G388" s="215" t="s">
        <v>813</v>
      </c>
      <c r="H388" s="226">
        <v>90</v>
      </c>
      <c r="I388" s="226">
        <v>90</v>
      </c>
      <c r="J388" s="226">
        <v>68</v>
      </c>
      <c r="K388" s="226">
        <v>0</v>
      </c>
      <c r="L388" s="215" t="s">
        <v>1065</v>
      </c>
      <c r="M388" s="215" t="s">
        <v>1168</v>
      </c>
    </row>
    <row r="389" spans="1:13" ht="31.8" thickBot="1" x14ac:dyDescent="0.35">
      <c r="A389" s="215"/>
      <c r="B389" s="224">
        <v>44190</v>
      </c>
      <c r="C389" s="226">
        <v>73</v>
      </c>
      <c r="D389" s="226">
        <v>73</v>
      </c>
      <c r="E389" s="226">
        <v>1</v>
      </c>
      <c r="F389" s="225"/>
      <c r="G389" s="215" t="s">
        <v>813</v>
      </c>
      <c r="H389" s="226">
        <v>73</v>
      </c>
      <c r="I389" s="226">
        <v>73</v>
      </c>
      <c r="J389" s="226">
        <v>72</v>
      </c>
      <c r="K389" s="226">
        <v>0</v>
      </c>
      <c r="L389" s="215" t="s">
        <v>1065</v>
      </c>
      <c r="M389" s="215" t="s">
        <v>1169</v>
      </c>
    </row>
    <row r="390" spans="1:13" ht="47.4" thickBot="1" x14ac:dyDescent="0.35">
      <c r="A390" s="215"/>
      <c r="B390" s="224">
        <v>44191</v>
      </c>
      <c r="C390" s="226">
        <v>1997</v>
      </c>
      <c r="D390" s="226">
        <v>1999</v>
      </c>
      <c r="E390" s="226">
        <v>2</v>
      </c>
      <c r="F390" s="225"/>
      <c r="G390" s="215" t="s">
        <v>813</v>
      </c>
      <c r="H390" s="226">
        <v>3993</v>
      </c>
      <c r="I390" s="226">
        <v>3998</v>
      </c>
      <c r="J390" s="226">
        <v>3694</v>
      </c>
      <c r="K390" s="226">
        <v>0</v>
      </c>
      <c r="L390" s="215" t="s">
        <v>1065</v>
      </c>
      <c r="M390" s="215" t="s">
        <v>1170</v>
      </c>
    </row>
    <row r="391" spans="1:13" ht="31.8" thickBot="1" x14ac:dyDescent="0.35">
      <c r="A391" s="215"/>
      <c r="B391" s="224">
        <v>44192</v>
      </c>
      <c r="C391" s="226">
        <v>1469</v>
      </c>
      <c r="D391" s="226">
        <v>1469</v>
      </c>
      <c r="E391" s="226">
        <v>1</v>
      </c>
      <c r="F391" s="225"/>
      <c r="G391" s="215" t="s">
        <v>813</v>
      </c>
      <c r="H391" s="226">
        <v>1469</v>
      </c>
      <c r="I391" s="226">
        <v>1469</v>
      </c>
      <c r="J391" s="226">
        <v>1327</v>
      </c>
      <c r="K391" s="226">
        <v>0</v>
      </c>
      <c r="L391" s="215" t="s">
        <v>1066</v>
      </c>
      <c r="M391" s="215" t="s">
        <v>1171</v>
      </c>
    </row>
    <row r="392" spans="1:13" ht="16.2" thickBot="1" x14ac:dyDescent="0.35">
      <c r="A392" s="215"/>
      <c r="B392" s="224">
        <v>44194</v>
      </c>
      <c r="C392" s="226">
        <v>19</v>
      </c>
      <c r="D392" s="226">
        <v>19</v>
      </c>
      <c r="E392" s="226">
        <v>1</v>
      </c>
      <c r="F392" s="225"/>
      <c r="G392" s="215" t="s">
        <v>813</v>
      </c>
      <c r="H392" s="226">
        <v>19</v>
      </c>
      <c r="I392" s="226">
        <v>19</v>
      </c>
      <c r="J392" s="226">
        <v>15</v>
      </c>
      <c r="K392" s="226">
        <v>0</v>
      </c>
      <c r="L392" s="215" t="s">
        <v>1066</v>
      </c>
      <c r="M392" s="215">
        <v>6037901209</v>
      </c>
    </row>
    <row r="393" spans="1:13" ht="16.2" thickBot="1" x14ac:dyDescent="0.35">
      <c r="A393" s="215"/>
      <c r="B393" s="224">
        <v>44195</v>
      </c>
      <c r="C393" s="226">
        <v>19</v>
      </c>
      <c r="D393" s="226">
        <v>19</v>
      </c>
      <c r="E393" s="226">
        <v>1</v>
      </c>
      <c r="F393" s="225"/>
      <c r="G393" s="215" t="s">
        <v>813</v>
      </c>
      <c r="H393" s="226">
        <v>19</v>
      </c>
      <c r="I393" s="226">
        <v>19</v>
      </c>
      <c r="J393" s="226">
        <v>14</v>
      </c>
      <c r="K393" s="226">
        <v>0</v>
      </c>
      <c r="L393" s="215" t="s">
        <v>1066</v>
      </c>
      <c r="M393" s="215">
        <v>6037901209</v>
      </c>
    </row>
    <row r="394" spans="1:13" ht="16.2" thickBot="1" x14ac:dyDescent="0.35">
      <c r="A394" s="215"/>
      <c r="B394" s="224">
        <v>44196</v>
      </c>
      <c r="C394" s="226">
        <v>33</v>
      </c>
      <c r="D394" s="226">
        <v>33</v>
      </c>
      <c r="E394" s="226">
        <v>1</v>
      </c>
      <c r="F394" s="225"/>
      <c r="G394" s="215" t="s">
        <v>813</v>
      </c>
      <c r="H394" s="226">
        <v>33</v>
      </c>
      <c r="I394" s="226">
        <v>33</v>
      </c>
      <c r="J394" s="226">
        <v>106</v>
      </c>
      <c r="K394" s="226">
        <v>0</v>
      </c>
      <c r="L394" s="215" t="s">
        <v>1065</v>
      </c>
      <c r="M394" s="215">
        <v>6031000402</v>
      </c>
    </row>
    <row r="395" spans="1:13" ht="16.2" thickBot="1" x14ac:dyDescent="0.35">
      <c r="A395" s="215"/>
      <c r="B395" s="224">
        <v>44198</v>
      </c>
      <c r="C395" s="226">
        <v>174</v>
      </c>
      <c r="D395" s="226">
        <v>174</v>
      </c>
      <c r="E395" s="226">
        <v>1</v>
      </c>
      <c r="F395" s="225"/>
      <c r="G395" s="215" t="s">
        <v>813</v>
      </c>
      <c r="H395" s="226">
        <v>174</v>
      </c>
      <c r="I395" s="226">
        <v>174</v>
      </c>
      <c r="J395" s="226">
        <v>161</v>
      </c>
      <c r="K395" s="226">
        <v>0</v>
      </c>
      <c r="L395" s="215" t="s">
        <v>1065</v>
      </c>
      <c r="M395" s="215">
        <v>6031000500</v>
      </c>
    </row>
    <row r="396" spans="1:13" ht="31.8" thickBot="1" x14ac:dyDescent="0.35">
      <c r="A396" s="215"/>
      <c r="B396" s="224">
        <v>44199</v>
      </c>
      <c r="C396" s="226">
        <v>9</v>
      </c>
      <c r="D396" s="226">
        <v>9</v>
      </c>
      <c r="E396" s="226">
        <v>1</v>
      </c>
      <c r="F396" s="225"/>
      <c r="G396" s="215" t="s">
        <v>813</v>
      </c>
      <c r="H396" s="226">
        <v>9</v>
      </c>
      <c r="I396" s="226">
        <v>9</v>
      </c>
      <c r="J396" s="226">
        <v>5</v>
      </c>
      <c r="K396" s="226">
        <v>1</v>
      </c>
      <c r="L396" s="215" t="s">
        <v>1066</v>
      </c>
      <c r="M396" s="215" t="s">
        <v>1172</v>
      </c>
    </row>
    <row r="397" spans="1:13" ht="16.2" thickBot="1" x14ac:dyDescent="0.35">
      <c r="A397" s="215"/>
      <c r="B397" s="224">
        <v>44200</v>
      </c>
      <c r="C397" s="226">
        <v>5</v>
      </c>
      <c r="D397" s="226">
        <v>5</v>
      </c>
      <c r="E397" s="226">
        <v>1</v>
      </c>
      <c r="F397" s="225"/>
      <c r="G397" s="215" t="s">
        <v>813</v>
      </c>
      <c r="H397" s="226">
        <v>5</v>
      </c>
      <c r="I397" s="226">
        <v>5</v>
      </c>
      <c r="J397" s="226">
        <v>4</v>
      </c>
      <c r="K397" s="226">
        <v>0</v>
      </c>
      <c r="L397" s="215" t="s">
        <v>1065</v>
      </c>
      <c r="M397" s="215">
        <v>6031000100</v>
      </c>
    </row>
    <row r="398" spans="1:13" ht="78.599999999999994" thickBot="1" x14ac:dyDescent="0.35">
      <c r="A398" s="215"/>
      <c r="B398" s="224">
        <v>44202</v>
      </c>
      <c r="C398" s="226">
        <v>1689</v>
      </c>
      <c r="D398" s="226">
        <v>1720</v>
      </c>
      <c r="E398" s="226">
        <v>3</v>
      </c>
      <c r="F398" s="225"/>
      <c r="G398" s="215" t="s">
        <v>813</v>
      </c>
      <c r="H398" s="226">
        <v>5066</v>
      </c>
      <c r="I398" s="226">
        <v>5159</v>
      </c>
      <c r="J398" s="226">
        <v>4841</v>
      </c>
      <c r="K398" s="226">
        <v>0</v>
      </c>
      <c r="L398" s="215" t="s">
        <v>1065</v>
      </c>
      <c r="M398" s="215" t="s">
        <v>1173</v>
      </c>
    </row>
    <row r="399" spans="1:13" ht="187.8" thickBot="1" x14ac:dyDescent="0.35">
      <c r="A399" s="215"/>
      <c r="B399" s="224">
        <v>44203</v>
      </c>
      <c r="C399" s="226">
        <v>2591</v>
      </c>
      <c r="D399" s="226">
        <v>2605</v>
      </c>
      <c r="E399" s="226">
        <v>7</v>
      </c>
      <c r="F399" s="225"/>
      <c r="G399" s="215" t="s">
        <v>813</v>
      </c>
      <c r="H399" s="226">
        <v>18134</v>
      </c>
      <c r="I399" s="226">
        <v>18237</v>
      </c>
      <c r="J399" s="226">
        <v>16938</v>
      </c>
      <c r="K399" s="226">
        <v>2</v>
      </c>
      <c r="L399" s="215" t="s">
        <v>1065</v>
      </c>
      <c r="M399" s="215" t="s">
        <v>1174</v>
      </c>
    </row>
    <row r="400" spans="1:13" ht="31.8" thickBot="1" x14ac:dyDescent="0.35">
      <c r="A400" s="215"/>
      <c r="B400" s="224">
        <v>44204</v>
      </c>
      <c r="C400" s="226">
        <v>129</v>
      </c>
      <c r="D400" s="226">
        <v>132</v>
      </c>
      <c r="E400" s="226">
        <v>2</v>
      </c>
      <c r="F400" s="225"/>
      <c r="G400" s="215" t="s">
        <v>813</v>
      </c>
      <c r="H400" s="226">
        <v>257</v>
      </c>
      <c r="I400" s="226">
        <v>263</v>
      </c>
      <c r="J400" s="226">
        <v>218</v>
      </c>
      <c r="K400" s="226">
        <v>0</v>
      </c>
      <c r="L400" s="215" t="s">
        <v>1066</v>
      </c>
      <c r="M400" s="215" t="s">
        <v>1175</v>
      </c>
    </row>
    <row r="401" spans="1:13" ht="47.4" thickBot="1" x14ac:dyDescent="0.35">
      <c r="A401" s="215"/>
      <c r="B401" s="224">
        <v>44205</v>
      </c>
      <c r="C401" s="226">
        <v>38</v>
      </c>
      <c r="D401" s="226">
        <v>41</v>
      </c>
      <c r="E401" s="226">
        <v>1</v>
      </c>
      <c r="F401" s="225"/>
      <c r="G401" s="215" t="s">
        <v>813</v>
      </c>
      <c r="H401" s="226">
        <v>38</v>
      </c>
      <c r="I401" s="226">
        <v>41</v>
      </c>
      <c r="J401" s="226">
        <v>35</v>
      </c>
      <c r="K401" s="226">
        <v>0</v>
      </c>
      <c r="L401" s="215" t="s">
        <v>1065</v>
      </c>
      <c r="M401" s="215" t="s">
        <v>1176</v>
      </c>
    </row>
    <row r="402" spans="1:13" ht="16.2" thickBot="1" x14ac:dyDescent="0.35">
      <c r="A402" s="215"/>
      <c r="B402" s="224">
        <v>44206</v>
      </c>
      <c r="C402" s="226">
        <v>9</v>
      </c>
      <c r="D402" s="226">
        <v>11</v>
      </c>
      <c r="E402" s="226">
        <v>1</v>
      </c>
      <c r="F402" s="225"/>
      <c r="G402" s="215" t="s">
        <v>813</v>
      </c>
      <c r="H402" s="226">
        <v>9</v>
      </c>
      <c r="I402" s="226">
        <v>11</v>
      </c>
      <c r="J402" s="226">
        <v>5</v>
      </c>
      <c r="K402" s="226">
        <v>0</v>
      </c>
      <c r="L402" s="215" t="s">
        <v>1065</v>
      </c>
      <c r="M402" s="215">
        <v>6107001400</v>
      </c>
    </row>
    <row r="403" spans="1:13" ht="47.4" thickBot="1" x14ac:dyDescent="0.35">
      <c r="A403" s="215"/>
      <c r="B403" s="224">
        <v>44207</v>
      </c>
      <c r="C403" s="226">
        <v>648</v>
      </c>
      <c r="D403" s="226">
        <v>649</v>
      </c>
      <c r="E403" s="226">
        <v>2</v>
      </c>
      <c r="F403" s="225" t="s">
        <v>1177</v>
      </c>
      <c r="G403" s="215" t="s">
        <v>813</v>
      </c>
      <c r="H403" s="226">
        <v>1296</v>
      </c>
      <c r="I403" s="226">
        <v>1298</v>
      </c>
      <c r="J403" s="226">
        <v>1181</v>
      </c>
      <c r="K403" s="226">
        <v>0</v>
      </c>
      <c r="L403" s="215" t="s">
        <v>1065</v>
      </c>
      <c r="M403" s="215" t="s">
        <v>1176</v>
      </c>
    </row>
    <row r="404" spans="1:13" ht="16.2" thickBot="1" x14ac:dyDescent="0.35">
      <c r="A404" s="215"/>
      <c r="B404" s="224">
        <v>44208</v>
      </c>
      <c r="C404" s="226">
        <v>17</v>
      </c>
      <c r="D404" s="226">
        <v>17</v>
      </c>
      <c r="E404" s="226">
        <v>1</v>
      </c>
      <c r="F404" s="225"/>
      <c r="G404" s="215" t="s">
        <v>813</v>
      </c>
      <c r="H404" s="226">
        <v>17</v>
      </c>
      <c r="I404" s="226">
        <v>17</v>
      </c>
      <c r="J404" s="226">
        <v>13</v>
      </c>
      <c r="K404" s="226">
        <v>0</v>
      </c>
      <c r="L404" s="215" t="s">
        <v>1065</v>
      </c>
      <c r="M404" s="215">
        <v>6019007300</v>
      </c>
    </row>
    <row r="405" spans="1:13" ht="16.2" thickBot="1" x14ac:dyDescent="0.35">
      <c r="A405" s="215"/>
      <c r="B405" s="224">
        <v>44209</v>
      </c>
      <c r="C405" s="226">
        <v>34</v>
      </c>
      <c r="D405" s="226">
        <v>34</v>
      </c>
      <c r="E405" s="226">
        <v>1</v>
      </c>
      <c r="F405" s="225"/>
      <c r="G405" s="215" t="s">
        <v>813</v>
      </c>
      <c r="H405" s="226">
        <v>34</v>
      </c>
      <c r="I405" s="226">
        <v>34</v>
      </c>
      <c r="J405" s="226">
        <v>32</v>
      </c>
      <c r="K405" s="226">
        <v>0</v>
      </c>
      <c r="L405" s="215" t="s">
        <v>1065</v>
      </c>
      <c r="M405" s="215">
        <v>6107000303</v>
      </c>
    </row>
    <row r="406" spans="1:13" ht="16.2" thickBot="1" x14ac:dyDescent="0.35">
      <c r="A406" s="215"/>
      <c r="B406" s="224">
        <v>44210</v>
      </c>
      <c r="C406" s="226">
        <v>61</v>
      </c>
      <c r="D406" s="226">
        <v>61</v>
      </c>
      <c r="E406" s="226">
        <v>1</v>
      </c>
      <c r="F406" s="225"/>
      <c r="G406" s="215" t="s">
        <v>813</v>
      </c>
      <c r="H406" s="226">
        <v>61</v>
      </c>
      <c r="I406" s="226">
        <v>61</v>
      </c>
      <c r="J406" s="226">
        <v>51</v>
      </c>
      <c r="K406" s="226">
        <v>0</v>
      </c>
      <c r="L406" s="215" t="s">
        <v>1065</v>
      </c>
      <c r="M406" s="215">
        <v>6107000303</v>
      </c>
    </row>
    <row r="407" spans="1:13" ht="16.2" thickBot="1" x14ac:dyDescent="0.35">
      <c r="A407" s="215"/>
      <c r="B407" s="224">
        <v>44211</v>
      </c>
      <c r="C407" s="226">
        <v>42</v>
      </c>
      <c r="D407" s="226">
        <v>42</v>
      </c>
      <c r="E407" s="226">
        <v>1</v>
      </c>
      <c r="F407" s="225"/>
      <c r="G407" s="215" t="s">
        <v>813</v>
      </c>
      <c r="H407" s="226">
        <v>42</v>
      </c>
      <c r="I407" s="226">
        <v>42</v>
      </c>
      <c r="J407" s="226">
        <v>39</v>
      </c>
      <c r="K407" s="226">
        <v>0</v>
      </c>
      <c r="L407" s="215" t="s">
        <v>1065</v>
      </c>
      <c r="M407" s="215">
        <v>6107000303</v>
      </c>
    </row>
    <row r="408" spans="1:13" ht="94.2" thickBot="1" x14ac:dyDescent="0.35">
      <c r="A408" s="215"/>
      <c r="B408" s="224">
        <v>44212</v>
      </c>
      <c r="C408" s="226">
        <v>1366</v>
      </c>
      <c r="D408" s="226">
        <v>1369</v>
      </c>
      <c r="E408" s="226">
        <v>4</v>
      </c>
      <c r="F408" s="225" t="s">
        <v>1178</v>
      </c>
      <c r="G408" s="215" t="s">
        <v>813</v>
      </c>
      <c r="H408" s="226">
        <v>5465</v>
      </c>
      <c r="I408" s="226">
        <v>5474</v>
      </c>
      <c r="J408" s="226">
        <v>5134</v>
      </c>
      <c r="K408" s="226">
        <v>0</v>
      </c>
      <c r="L408" s="215" t="s">
        <v>1065</v>
      </c>
      <c r="M408" s="215" t="s">
        <v>1179</v>
      </c>
    </row>
    <row r="409" spans="1:13" ht="31.8" thickBot="1" x14ac:dyDescent="0.35">
      <c r="A409" s="215"/>
      <c r="B409" s="224">
        <v>44214</v>
      </c>
      <c r="C409" s="226">
        <v>25</v>
      </c>
      <c r="D409" s="226">
        <v>25</v>
      </c>
      <c r="E409" s="226">
        <v>1</v>
      </c>
      <c r="F409" s="225"/>
      <c r="G409" s="215" t="s">
        <v>813</v>
      </c>
      <c r="H409" s="226">
        <v>25</v>
      </c>
      <c r="I409" s="226">
        <v>25</v>
      </c>
      <c r="J409" s="226">
        <v>17</v>
      </c>
      <c r="K409" s="226">
        <v>0</v>
      </c>
      <c r="L409" s="215" t="s">
        <v>1065</v>
      </c>
      <c r="M409" s="215" t="s">
        <v>1180</v>
      </c>
    </row>
    <row r="410" spans="1:13" ht="16.2" thickBot="1" x14ac:dyDescent="0.35">
      <c r="A410" s="215"/>
      <c r="B410" s="224">
        <v>44215</v>
      </c>
      <c r="C410" s="226">
        <v>395</v>
      </c>
      <c r="D410" s="226">
        <v>395</v>
      </c>
      <c r="E410" s="226">
        <v>1</v>
      </c>
      <c r="F410" s="225"/>
      <c r="G410" s="215" t="s">
        <v>813</v>
      </c>
      <c r="H410" s="226">
        <v>395</v>
      </c>
      <c r="I410" s="226">
        <v>395</v>
      </c>
      <c r="J410" s="226">
        <v>378</v>
      </c>
      <c r="K410" s="226">
        <v>0</v>
      </c>
      <c r="L410" s="215" t="s">
        <v>1066</v>
      </c>
      <c r="M410" s="215">
        <v>6029003305</v>
      </c>
    </row>
    <row r="411" spans="1:13" ht="16.2" thickBot="1" x14ac:dyDescent="0.35">
      <c r="A411" s="215"/>
      <c r="B411" s="224">
        <v>44216</v>
      </c>
      <c r="C411" s="226">
        <v>2</v>
      </c>
      <c r="D411" s="226">
        <v>2</v>
      </c>
      <c r="E411" s="226">
        <v>1</v>
      </c>
      <c r="F411" s="225"/>
      <c r="G411" s="215" t="s">
        <v>813</v>
      </c>
      <c r="H411" s="226">
        <v>2</v>
      </c>
      <c r="I411" s="226">
        <v>2</v>
      </c>
      <c r="J411" s="226">
        <v>2</v>
      </c>
      <c r="K411" s="226">
        <v>0</v>
      </c>
      <c r="L411" s="215" t="s">
        <v>1066</v>
      </c>
      <c r="M411" s="215">
        <v>6029006201</v>
      </c>
    </row>
    <row r="412" spans="1:13" ht="94.2" thickBot="1" x14ac:dyDescent="0.35">
      <c r="A412" s="215"/>
      <c r="B412" s="224">
        <v>44217</v>
      </c>
      <c r="C412" s="226">
        <v>2008</v>
      </c>
      <c r="D412" s="226">
        <v>2045</v>
      </c>
      <c r="E412" s="226">
        <v>2</v>
      </c>
      <c r="F412" s="225"/>
      <c r="G412" s="215" t="s">
        <v>813</v>
      </c>
      <c r="H412" s="226">
        <v>4016</v>
      </c>
      <c r="I412" s="226">
        <v>4090</v>
      </c>
      <c r="J412" s="226">
        <v>3664</v>
      </c>
      <c r="K412" s="226">
        <v>1</v>
      </c>
      <c r="L412" s="215" t="s">
        <v>1066</v>
      </c>
      <c r="M412" s="215" t="s">
        <v>1181</v>
      </c>
    </row>
    <row r="413" spans="1:13" ht="16.2" thickBot="1" x14ac:dyDescent="0.35">
      <c r="A413" s="215"/>
      <c r="B413" s="224">
        <v>44218</v>
      </c>
      <c r="C413" s="226">
        <v>3</v>
      </c>
      <c r="D413" s="226">
        <v>5</v>
      </c>
      <c r="E413" s="226">
        <v>1</v>
      </c>
      <c r="F413" s="225" t="s">
        <v>1182</v>
      </c>
      <c r="G413" s="215" t="s">
        <v>813</v>
      </c>
      <c r="H413" s="226">
        <v>3</v>
      </c>
      <c r="I413" s="226">
        <v>5</v>
      </c>
      <c r="J413" s="226">
        <v>2</v>
      </c>
      <c r="K413" s="226">
        <v>0</v>
      </c>
      <c r="L413" s="215" t="s">
        <v>1066</v>
      </c>
      <c r="M413" s="215">
        <v>6029006202</v>
      </c>
    </row>
    <row r="414" spans="1:13" ht="16.2" thickBot="1" x14ac:dyDescent="0.35">
      <c r="A414" s="215"/>
      <c r="B414" s="224">
        <v>44219</v>
      </c>
      <c r="C414" s="226">
        <v>91</v>
      </c>
      <c r="D414" s="226">
        <v>91</v>
      </c>
      <c r="E414" s="226">
        <v>2</v>
      </c>
      <c r="F414" s="225"/>
      <c r="G414" s="215" t="s">
        <v>813</v>
      </c>
      <c r="H414" s="226">
        <v>181</v>
      </c>
      <c r="I414" s="226">
        <v>181</v>
      </c>
      <c r="J414" s="226">
        <v>144</v>
      </c>
      <c r="K414" s="226">
        <v>0</v>
      </c>
      <c r="L414" s="215" t="s">
        <v>1065</v>
      </c>
      <c r="M414" s="215">
        <v>6019007700</v>
      </c>
    </row>
    <row r="415" spans="1:13" ht="16.2" thickBot="1" x14ac:dyDescent="0.35">
      <c r="A415" s="215"/>
      <c r="B415" s="224">
        <v>44220</v>
      </c>
      <c r="C415" s="226">
        <v>505</v>
      </c>
      <c r="D415" s="226">
        <v>515</v>
      </c>
      <c r="E415" s="226">
        <v>1</v>
      </c>
      <c r="F415" s="225"/>
      <c r="G415" s="215" t="s">
        <v>813</v>
      </c>
      <c r="H415" s="226">
        <v>505</v>
      </c>
      <c r="I415" s="226">
        <v>515</v>
      </c>
      <c r="J415" s="226">
        <v>455</v>
      </c>
      <c r="K415" s="226">
        <v>0</v>
      </c>
      <c r="L415" s="215" t="s">
        <v>1065</v>
      </c>
      <c r="M415" s="215">
        <v>6019007400</v>
      </c>
    </row>
    <row r="416" spans="1:13" ht="31.8" thickBot="1" x14ac:dyDescent="0.35">
      <c r="A416" s="215"/>
      <c r="B416" s="224">
        <v>44224</v>
      </c>
      <c r="C416" s="226">
        <v>492</v>
      </c>
      <c r="D416" s="226">
        <v>496</v>
      </c>
      <c r="E416" s="226">
        <v>1</v>
      </c>
      <c r="F416" s="225"/>
      <c r="G416" s="215" t="s">
        <v>813</v>
      </c>
      <c r="H416" s="226">
        <v>492</v>
      </c>
      <c r="I416" s="226">
        <v>496</v>
      </c>
      <c r="J416" s="226">
        <v>430</v>
      </c>
      <c r="K416" s="226">
        <v>1</v>
      </c>
      <c r="L416" s="215" t="s">
        <v>1066</v>
      </c>
      <c r="M416" s="215" t="s">
        <v>1183</v>
      </c>
    </row>
    <row r="417" spans="1:13" ht="125.4" thickBot="1" x14ac:dyDescent="0.35">
      <c r="A417" s="215"/>
      <c r="B417" s="224">
        <v>44225</v>
      </c>
      <c r="C417" s="226">
        <v>1901</v>
      </c>
      <c r="D417" s="226">
        <v>1982</v>
      </c>
      <c r="E417" s="226">
        <v>5</v>
      </c>
      <c r="F417" s="225" t="s">
        <v>1184</v>
      </c>
      <c r="G417" s="215" t="s">
        <v>813</v>
      </c>
      <c r="H417" s="226">
        <v>9506</v>
      </c>
      <c r="I417" s="226">
        <v>9909</v>
      </c>
      <c r="J417" s="226">
        <v>9163</v>
      </c>
      <c r="K417" s="226">
        <v>1</v>
      </c>
      <c r="L417" s="215" t="s">
        <v>1065</v>
      </c>
      <c r="M417" s="215" t="s">
        <v>1185</v>
      </c>
    </row>
    <row r="418" spans="1:13" ht="16.2" thickBot="1" x14ac:dyDescent="0.35">
      <c r="A418" s="215"/>
      <c r="B418" s="224">
        <v>44226</v>
      </c>
      <c r="C418" s="226">
        <v>50</v>
      </c>
      <c r="D418" s="226">
        <v>50</v>
      </c>
      <c r="E418" s="226">
        <v>1</v>
      </c>
      <c r="F418" s="225"/>
      <c r="G418" s="215" t="s">
        <v>813</v>
      </c>
      <c r="H418" s="226">
        <v>50</v>
      </c>
      <c r="I418" s="226">
        <v>50</v>
      </c>
      <c r="J418" s="226">
        <v>40</v>
      </c>
      <c r="K418" s="226">
        <v>0</v>
      </c>
      <c r="L418" s="215" t="s">
        <v>1065</v>
      </c>
      <c r="M418" s="215">
        <v>6031000200</v>
      </c>
    </row>
    <row r="419" spans="1:13" ht="16.2" thickBot="1" x14ac:dyDescent="0.35">
      <c r="A419" s="215"/>
      <c r="B419" s="224">
        <v>44231</v>
      </c>
      <c r="C419" s="226">
        <v>25</v>
      </c>
      <c r="D419" s="226">
        <v>25</v>
      </c>
      <c r="E419" s="226">
        <v>1</v>
      </c>
      <c r="F419" s="225"/>
      <c r="G419" s="215" t="s">
        <v>813</v>
      </c>
      <c r="H419" s="226">
        <v>25</v>
      </c>
      <c r="I419" s="226">
        <v>25</v>
      </c>
      <c r="J419" s="226">
        <v>24</v>
      </c>
      <c r="K419" s="226">
        <v>0</v>
      </c>
      <c r="L419" s="215" t="s">
        <v>1065</v>
      </c>
      <c r="M419" s="215">
        <v>6107002500</v>
      </c>
    </row>
    <row r="420" spans="1:13" ht="16.2" thickBot="1" x14ac:dyDescent="0.35">
      <c r="A420" s="215"/>
      <c r="B420" s="224">
        <v>44232</v>
      </c>
      <c r="C420" s="226">
        <v>193</v>
      </c>
      <c r="D420" s="226">
        <v>195</v>
      </c>
      <c r="E420" s="226">
        <v>1</v>
      </c>
      <c r="F420" s="225"/>
      <c r="G420" s="215" t="s">
        <v>813</v>
      </c>
      <c r="H420" s="226">
        <v>193</v>
      </c>
      <c r="I420" s="226">
        <v>195</v>
      </c>
      <c r="J420" s="226">
        <v>171</v>
      </c>
      <c r="K420" s="226">
        <v>0</v>
      </c>
      <c r="L420" s="215" t="s">
        <v>1065</v>
      </c>
      <c r="M420" s="215">
        <v>6107002500</v>
      </c>
    </row>
    <row r="421" spans="1:13" ht="63" thickBot="1" x14ac:dyDescent="0.35">
      <c r="A421" s="215"/>
      <c r="B421" s="224">
        <v>44233</v>
      </c>
      <c r="C421" s="226">
        <v>2074</v>
      </c>
      <c r="D421" s="226">
        <v>2112</v>
      </c>
      <c r="E421" s="226">
        <v>2</v>
      </c>
      <c r="F421" s="225"/>
      <c r="G421" s="215" t="s">
        <v>813</v>
      </c>
      <c r="H421" s="226">
        <v>4148</v>
      </c>
      <c r="I421" s="226">
        <v>4224</v>
      </c>
      <c r="J421" s="226">
        <v>3748</v>
      </c>
      <c r="K421" s="226">
        <v>0</v>
      </c>
      <c r="L421" s="215" t="s">
        <v>1065</v>
      </c>
      <c r="M421" s="215" t="s">
        <v>1186</v>
      </c>
    </row>
    <row r="422" spans="1:13" ht="31.8" thickBot="1" x14ac:dyDescent="0.35">
      <c r="A422" s="215"/>
      <c r="B422" s="224">
        <v>44234</v>
      </c>
      <c r="C422" s="226">
        <v>10</v>
      </c>
      <c r="D422" s="226">
        <v>10</v>
      </c>
      <c r="E422" s="226">
        <v>1</v>
      </c>
      <c r="F422" s="225"/>
      <c r="G422" s="215" t="s">
        <v>813</v>
      </c>
      <c r="H422" s="226">
        <v>10</v>
      </c>
      <c r="I422" s="226">
        <v>10</v>
      </c>
      <c r="J422" s="226">
        <v>10</v>
      </c>
      <c r="K422" s="226">
        <v>0</v>
      </c>
      <c r="L422" s="215" t="s">
        <v>1066</v>
      </c>
      <c r="M422" s="215" t="s">
        <v>1171</v>
      </c>
    </row>
    <row r="423" spans="1:13" ht="31.8" thickBot="1" x14ac:dyDescent="0.35">
      <c r="A423" s="215"/>
      <c r="B423" s="224">
        <v>44235</v>
      </c>
      <c r="C423" s="226">
        <v>57</v>
      </c>
      <c r="D423" s="226">
        <v>57</v>
      </c>
      <c r="E423" s="226">
        <v>1</v>
      </c>
      <c r="F423" s="225"/>
      <c r="G423" s="215" t="s">
        <v>813</v>
      </c>
      <c r="H423" s="226">
        <v>57</v>
      </c>
      <c r="I423" s="226">
        <v>57</v>
      </c>
      <c r="J423" s="226">
        <v>56</v>
      </c>
      <c r="K423" s="226">
        <v>0</v>
      </c>
      <c r="L423" s="215" t="s">
        <v>1065</v>
      </c>
      <c r="M423" s="215" t="s">
        <v>1187</v>
      </c>
    </row>
    <row r="424" spans="1:13" ht="16.2" thickBot="1" x14ac:dyDescent="0.35">
      <c r="A424" s="215"/>
      <c r="B424" s="224">
        <v>44236</v>
      </c>
      <c r="C424" s="226">
        <v>6</v>
      </c>
      <c r="D424" s="226">
        <v>8</v>
      </c>
      <c r="E424" s="226">
        <v>1</v>
      </c>
      <c r="F424" s="225"/>
      <c r="G424" s="215" t="s">
        <v>813</v>
      </c>
      <c r="H424" s="226">
        <v>6</v>
      </c>
      <c r="I424" s="226">
        <v>8</v>
      </c>
      <c r="J424" s="226">
        <v>5</v>
      </c>
      <c r="K424" s="226">
        <v>0</v>
      </c>
      <c r="L424" s="215" t="s">
        <v>1076</v>
      </c>
      <c r="M424" s="215">
        <v>6083003102</v>
      </c>
    </row>
    <row r="425" spans="1:13" ht="16.2" thickBot="1" x14ac:dyDescent="0.35">
      <c r="A425" s="215"/>
      <c r="B425" s="224">
        <v>44237</v>
      </c>
      <c r="C425" s="226">
        <v>2</v>
      </c>
      <c r="D425" s="226">
        <v>2</v>
      </c>
      <c r="E425" s="226">
        <v>1</v>
      </c>
      <c r="F425" s="225"/>
      <c r="G425" s="215" t="s">
        <v>813</v>
      </c>
      <c r="H425" s="226">
        <v>2</v>
      </c>
      <c r="I425" s="226">
        <v>2</v>
      </c>
      <c r="J425" s="226">
        <v>2</v>
      </c>
      <c r="K425" s="226">
        <v>0</v>
      </c>
      <c r="L425" s="215" t="s">
        <v>1076</v>
      </c>
      <c r="M425" s="215">
        <v>6083002809</v>
      </c>
    </row>
    <row r="426" spans="1:13" ht="16.2" thickBot="1" x14ac:dyDescent="0.35">
      <c r="A426" s="215"/>
      <c r="B426" s="224">
        <v>44238</v>
      </c>
      <c r="C426" s="226">
        <v>11</v>
      </c>
      <c r="D426" s="226">
        <v>11</v>
      </c>
      <c r="E426" s="226">
        <v>1</v>
      </c>
      <c r="F426" s="225"/>
      <c r="G426" s="215" t="s">
        <v>813</v>
      </c>
      <c r="H426" s="226">
        <v>11</v>
      </c>
      <c r="I426" s="226">
        <v>11</v>
      </c>
      <c r="J426" s="226">
        <v>11</v>
      </c>
      <c r="K426" s="226">
        <v>0</v>
      </c>
      <c r="L426" s="215" t="s">
        <v>1076</v>
      </c>
      <c r="M426" s="215">
        <v>6083003102</v>
      </c>
    </row>
    <row r="427" spans="1:13" ht="63" thickBot="1" x14ac:dyDescent="0.35">
      <c r="A427" s="215"/>
      <c r="B427" s="224">
        <v>44239</v>
      </c>
      <c r="C427" s="226">
        <v>678</v>
      </c>
      <c r="D427" s="226">
        <v>682</v>
      </c>
      <c r="E427" s="226">
        <v>1</v>
      </c>
      <c r="F427" s="225"/>
      <c r="G427" s="215" t="s">
        <v>813</v>
      </c>
      <c r="H427" s="226">
        <v>678</v>
      </c>
      <c r="I427" s="226">
        <v>682</v>
      </c>
      <c r="J427" s="226">
        <v>573</v>
      </c>
      <c r="K427" s="226">
        <v>0</v>
      </c>
      <c r="L427" s="215" t="s">
        <v>1065</v>
      </c>
      <c r="M427" s="215" t="s">
        <v>1188</v>
      </c>
    </row>
    <row r="428" spans="1:13" ht="16.2" thickBot="1" x14ac:dyDescent="0.35">
      <c r="A428" s="215"/>
      <c r="B428" s="224">
        <v>44241</v>
      </c>
      <c r="C428" s="226">
        <v>565</v>
      </c>
      <c r="D428" s="226">
        <v>571</v>
      </c>
      <c r="E428" s="226">
        <v>1</v>
      </c>
      <c r="F428" s="225"/>
      <c r="G428" s="215" t="s">
        <v>813</v>
      </c>
      <c r="H428" s="226">
        <v>565</v>
      </c>
      <c r="I428" s="226">
        <v>571</v>
      </c>
      <c r="J428" s="226">
        <v>537</v>
      </c>
      <c r="K428" s="226">
        <v>0</v>
      </c>
      <c r="L428" s="215" t="s">
        <v>1066</v>
      </c>
      <c r="M428" s="215">
        <v>6029004500</v>
      </c>
    </row>
    <row r="429" spans="1:13" ht="16.2" thickBot="1" x14ac:dyDescent="0.35">
      <c r="A429" s="215"/>
      <c r="B429" s="224">
        <v>44243</v>
      </c>
      <c r="C429" s="226">
        <v>2</v>
      </c>
      <c r="D429" s="226">
        <v>2</v>
      </c>
      <c r="E429" s="226">
        <v>1</v>
      </c>
      <c r="F429" s="225"/>
      <c r="G429" s="215" t="s">
        <v>813</v>
      </c>
      <c r="H429" s="226">
        <v>2</v>
      </c>
      <c r="I429" s="226">
        <v>2</v>
      </c>
      <c r="J429" s="226">
        <v>0</v>
      </c>
      <c r="K429" s="226">
        <v>0</v>
      </c>
      <c r="L429" s="215" t="s">
        <v>1066</v>
      </c>
      <c r="M429" s="215">
        <v>6029004500</v>
      </c>
    </row>
    <row r="430" spans="1:13" ht="16.2" thickBot="1" x14ac:dyDescent="0.35">
      <c r="A430" s="215"/>
      <c r="B430" s="224">
        <v>44244</v>
      </c>
      <c r="C430" s="226">
        <v>41</v>
      </c>
      <c r="D430" s="226">
        <v>41</v>
      </c>
      <c r="E430" s="226">
        <v>1</v>
      </c>
      <c r="F430" s="225"/>
      <c r="G430" s="215" t="s">
        <v>813</v>
      </c>
      <c r="H430" s="226">
        <v>41</v>
      </c>
      <c r="I430" s="226">
        <v>41</v>
      </c>
      <c r="J430" s="226">
        <v>37</v>
      </c>
      <c r="K430" s="226">
        <v>0</v>
      </c>
      <c r="L430" s="215" t="s">
        <v>1066</v>
      </c>
      <c r="M430" s="215">
        <v>6029004500</v>
      </c>
    </row>
    <row r="431" spans="1:13" ht="31.8" thickBot="1" x14ac:dyDescent="0.35">
      <c r="A431" s="215"/>
      <c r="B431" s="224">
        <v>44245</v>
      </c>
      <c r="C431" s="226">
        <v>13</v>
      </c>
      <c r="D431" s="226">
        <v>13</v>
      </c>
      <c r="E431" s="226">
        <v>1</v>
      </c>
      <c r="F431" s="225"/>
      <c r="G431" s="215" t="s">
        <v>813</v>
      </c>
      <c r="H431" s="226">
        <v>13</v>
      </c>
      <c r="I431" s="226">
        <v>13</v>
      </c>
      <c r="J431" s="226">
        <v>10</v>
      </c>
      <c r="K431" s="226">
        <v>0</v>
      </c>
      <c r="L431" s="215" t="s">
        <v>1066</v>
      </c>
      <c r="M431" s="215" t="s">
        <v>1189</v>
      </c>
    </row>
    <row r="432" spans="1:13" ht="63" thickBot="1" x14ac:dyDescent="0.35">
      <c r="A432" s="215"/>
      <c r="B432" s="224">
        <v>44246</v>
      </c>
      <c r="C432" s="226">
        <v>3292</v>
      </c>
      <c r="D432" s="226">
        <v>3391</v>
      </c>
      <c r="E432" s="226">
        <v>1</v>
      </c>
      <c r="F432" s="225" t="s">
        <v>1190</v>
      </c>
      <c r="G432" s="215" t="s">
        <v>813</v>
      </c>
      <c r="H432" s="226">
        <v>3292</v>
      </c>
      <c r="I432" s="226">
        <v>3391</v>
      </c>
      <c r="J432" s="226">
        <v>3265</v>
      </c>
      <c r="K432" s="226">
        <v>0</v>
      </c>
      <c r="L432" s="215" t="s">
        <v>1066</v>
      </c>
      <c r="M432" s="215" t="s">
        <v>1191</v>
      </c>
    </row>
    <row r="433" spans="1:13" ht="16.2" thickBot="1" x14ac:dyDescent="0.35">
      <c r="A433" s="215"/>
      <c r="B433" s="224">
        <v>44247</v>
      </c>
      <c r="C433" s="226">
        <v>20</v>
      </c>
      <c r="D433" s="226">
        <v>20</v>
      </c>
      <c r="E433" s="226">
        <v>1</v>
      </c>
      <c r="F433" s="225"/>
      <c r="G433" s="215" t="s">
        <v>813</v>
      </c>
      <c r="H433" s="226">
        <v>20</v>
      </c>
      <c r="I433" s="226">
        <v>20</v>
      </c>
      <c r="J433" s="226">
        <v>12</v>
      </c>
      <c r="K433" s="226">
        <v>3</v>
      </c>
      <c r="L433" s="215" t="s">
        <v>1066</v>
      </c>
      <c r="M433" s="215">
        <v>6029003900</v>
      </c>
    </row>
    <row r="434" spans="1:13" ht="16.2" thickBot="1" x14ac:dyDescent="0.35">
      <c r="A434" s="215"/>
      <c r="B434" s="224">
        <v>44249</v>
      </c>
      <c r="C434" s="226">
        <v>19</v>
      </c>
      <c r="D434" s="226">
        <v>22</v>
      </c>
      <c r="E434" s="226">
        <v>2</v>
      </c>
      <c r="F434" s="225"/>
      <c r="G434" s="215" t="s">
        <v>813</v>
      </c>
      <c r="H434" s="226">
        <v>37</v>
      </c>
      <c r="I434" s="226">
        <v>43</v>
      </c>
      <c r="J434" s="226">
        <v>27</v>
      </c>
      <c r="K434" s="226">
        <v>1</v>
      </c>
      <c r="L434" s="215" t="s">
        <v>1066</v>
      </c>
      <c r="M434" s="215">
        <v>6029003304</v>
      </c>
    </row>
    <row r="435" spans="1:13" ht="31.8" thickBot="1" x14ac:dyDescent="0.35">
      <c r="A435" s="215"/>
      <c r="B435" s="224">
        <v>44250</v>
      </c>
      <c r="C435" s="226">
        <v>46</v>
      </c>
      <c r="D435" s="226">
        <v>46</v>
      </c>
      <c r="E435" s="226">
        <v>1</v>
      </c>
      <c r="F435" s="225"/>
      <c r="G435" s="215" t="s">
        <v>813</v>
      </c>
      <c r="H435" s="226">
        <v>46</v>
      </c>
      <c r="I435" s="226">
        <v>46</v>
      </c>
      <c r="J435" s="226">
        <v>30</v>
      </c>
      <c r="K435" s="226">
        <v>0</v>
      </c>
      <c r="L435" s="215" t="s">
        <v>1066</v>
      </c>
      <c r="M435" s="215" t="s">
        <v>1192</v>
      </c>
    </row>
    <row r="436" spans="1:13" ht="16.2" thickBot="1" x14ac:dyDescent="0.35">
      <c r="A436" s="215"/>
      <c r="B436" s="224">
        <v>44253</v>
      </c>
      <c r="C436" s="226">
        <v>47</v>
      </c>
      <c r="D436" s="226">
        <v>47</v>
      </c>
      <c r="E436" s="226">
        <v>1</v>
      </c>
      <c r="F436" s="225"/>
      <c r="G436" s="215" t="s">
        <v>813</v>
      </c>
      <c r="H436" s="226">
        <v>47</v>
      </c>
      <c r="I436" s="226">
        <v>47</v>
      </c>
      <c r="J436" s="226">
        <v>27</v>
      </c>
      <c r="K436" s="226">
        <v>0</v>
      </c>
      <c r="L436" s="215" t="s">
        <v>1066</v>
      </c>
      <c r="M436" s="215">
        <v>6029003900</v>
      </c>
    </row>
    <row r="437" spans="1:13" ht="16.2" thickBot="1" x14ac:dyDescent="0.35">
      <c r="A437" s="215"/>
      <c r="B437" s="224">
        <v>44254</v>
      </c>
      <c r="C437" s="226">
        <v>32</v>
      </c>
      <c r="D437" s="226">
        <v>32</v>
      </c>
      <c r="E437" s="226">
        <v>1</v>
      </c>
      <c r="F437" s="225" t="s">
        <v>1193</v>
      </c>
      <c r="G437" s="215" t="s">
        <v>813</v>
      </c>
      <c r="H437" s="226">
        <v>32</v>
      </c>
      <c r="I437" s="226">
        <v>32</v>
      </c>
      <c r="J437" s="226">
        <v>26</v>
      </c>
      <c r="K437" s="226">
        <v>0</v>
      </c>
      <c r="L437" s="215" t="s">
        <v>1065</v>
      </c>
      <c r="M437" s="215">
        <v>6019007300</v>
      </c>
    </row>
    <row r="438" spans="1:13" ht="63" thickBot="1" x14ac:dyDescent="0.35">
      <c r="A438" s="215"/>
      <c r="B438" s="224">
        <v>44255</v>
      </c>
      <c r="C438" s="226">
        <v>123</v>
      </c>
      <c r="D438" s="226">
        <v>123</v>
      </c>
      <c r="E438" s="226">
        <v>1</v>
      </c>
      <c r="F438" s="225"/>
      <c r="G438" s="215" t="s">
        <v>813</v>
      </c>
      <c r="H438" s="226">
        <v>123</v>
      </c>
      <c r="I438" s="226">
        <v>123</v>
      </c>
      <c r="J438" s="226">
        <v>100</v>
      </c>
      <c r="K438" s="226">
        <v>0</v>
      </c>
      <c r="L438" s="215" t="s">
        <v>1065</v>
      </c>
      <c r="M438" s="215" t="s">
        <v>1194</v>
      </c>
    </row>
    <row r="439" spans="1:13" ht="16.2" thickBot="1" x14ac:dyDescent="0.35">
      <c r="A439" s="215"/>
      <c r="B439" s="224">
        <v>44256</v>
      </c>
      <c r="C439" s="226">
        <v>19</v>
      </c>
      <c r="D439" s="226">
        <v>19</v>
      </c>
      <c r="E439" s="226">
        <v>1</v>
      </c>
      <c r="F439" s="225"/>
      <c r="G439" s="215" t="s">
        <v>813</v>
      </c>
      <c r="H439" s="226">
        <v>19</v>
      </c>
      <c r="I439" s="226">
        <v>19</v>
      </c>
      <c r="J439" s="226">
        <v>16</v>
      </c>
      <c r="K439" s="226">
        <v>1</v>
      </c>
      <c r="L439" s="215" t="s">
        <v>1066</v>
      </c>
      <c r="M439" s="215">
        <v>6029005103</v>
      </c>
    </row>
    <row r="440" spans="1:13" ht="31.8" thickBot="1" x14ac:dyDescent="0.35">
      <c r="A440" s="215"/>
      <c r="B440" s="224">
        <v>44258</v>
      </c>
      <c r="C440" s="226">
        <v>111</v>
      </c>
      <c r="D440" s="226">
        <v>114</v>
      </c>
      <c r="E440" s="226">
        <v>1</v>
      </c>
      <c r="F440" s="225"/>
      <c r="G440" s="215" t="s">
        <v>813</v>
      </c>
      <c r="H440" s="226">
        <v>111</v>
      </c>
      <c r="I440" s="226">
        <v>114</v>
      </c>
      <c r="J440" s="226">
        <v>98</v>
      </c>
      <c r="K440" s="226">
        <v>0</v>
      </c>
      <c r="L440" s="215" t="s">
        <v>1076</v>
      </c>
      <c r="M440" s="215" t="s">
        <v>1195</v>
      </c>
    </row>
    <row r="441" spans="1:13" ht="47.4" thickBot="1" x14ac:dyDescent="0.35">
      <c r="A441" s="215"/>
      <c r="B441" s="224">
        <v>44263</v>
      </c>
      <c r="C441" s="226">
        <v>2334</v>
      </c>
      <c r="D441" s="226">
        <v>2694</v>
      </c>
      <c r="E441" s="226">
        <v>1</v>
      </c>
      <c r="F441" s="225"/>
      <c r="G441" s="215" t="s">
        <v>813</v>
      </c>
      <c r="H441" s="226">
        <v>2334</v>
      </c>
      <c r="I441" s="226">
        <v>2694</v>
      </c>
      <c r="J441" s="226">
        <v>2400</v>
      </c>
      <c r="K441" s="226">
        <v>0</v>
      </c>
      <c r="L441" s="215" t="s">
        <v>1065</v>
      </c>
      <c r="M441" s="215" t="s">
        <v>1196</v>
      </c>
    </row>
    <row r="442" spans="1:13" ht="16.2" thickBot="1" x14ac:dyDescent="0.35">
      <c r="A442" s="215"/>
      <c r="B442" s="224">
        <v>44264</v>
      </c>
      <c r="C442" s="226">
        <v>1</v>
      </c>
      <c r="D442" s="226">
        <v>1</v>
      </c>
      <c r="E442" s="226">
        <v>1</v>
      </c>
      <c r="F442" s="225"/>
      <c r="G442" s="215" t="s">
        <v>813</v>
      </c>
      <c r="H442" s="226">
        <v>1</v>
      </c>
      <c r="I442" s="226">
        <v>1</v>
      </c>
      <c r="J442" s="226">
        <v>1</v>
      </c>
      <c r="K442" s="226">
        <v>0</v>
      </c>
      <c r="L442" s="215" t="s">
        <v>1076</v>
      </c>
      <c r="M442" s="215">
        <v>6083002809</v>
      </c>
    </row>
    <row r="443" spans="1:13" ht="63" thickBot="1" x14ac:dyDescent="0.35">
      <c r="A443" s="215"/>
      <c r="B443" s="224">
        <v>44265</v>
      </c>
      <c r="C443" s="226">
        <v>1713</v>
      </c>
      <c r="D443" s="226">
        <v>1868</v>
      </c>
      <c r="E443" s="226">
        <v>2</v>
      </c>
      <c r="F443" s="225"/>
      <c r="G443" s="215" t="s">
        <v>813</v>
      </c>
      <c r="H443" s="226">
        <v>3425</v>
      </c>
      <c r="I443" s="226">
        <v>3735</v>
      </c>
      <c r="J443" s="226">
        <v>3451</v>
      </c>
      <c r="K443" s="226">
        <v>0</v>
      </c>
      <c r="L443" s="215" t="s">
        <v>1065</v>
      </c>
      <c r="M443" s="215" t="s">
        <v>1197</v>
      </c>
    </row>
    <row r="444" spans="1:13" ht="16.2" thickBot="1" x14ac:dyDescent="0.35">
      <c r="A444" s="215"/>
      <c r="B444" s="224">
        <v>44266</v>
      </c>
      <c r="C444" s="226">
        <v>5</v>
      </c>
      <c r="D444" s="226">
        <v>5</v>
      </c>
      <c r="E444" s="226">
        <v>1</v>
      </c>
      <c r="F444" s="225" t="s">
        <v>1198</v>
      </c>
      <c r="G444" s="215" t="s">
        <v>813</v>
      </c>
      <c r="H444" s="226">
        <v>5</v>
      </c>
      <c r="I444" s="226">
        <v>5</v>
      </c>
      <c r="J444" s="226">
        <v>5</v>
      </c>
      <c r="K444" s="226">
        <v>0</v>
      </c>
      <c r="L444" s="215" t="s">
        <v>1065</v>
      </c>
      <c r="M444" s="215">
        <v>6019006802</v>
      </c>
    </row>
    <row r="445" spans="1:13" ht="31.8" thickBot="1" x14ac:dyDescent="0.35">
      <c r="A445" s="215"/>
      <c r="B445" s="224">
        <v>44267</v>
      </c>
      <c r="C445" s="226">
        <v>212</v>
      </c>
      <c r="D445" s="226">
        <v>216</v>
      </c>
      <c r="E445" s="226">
        <v>2</v>
      </c>
      <c r="F445" s="225"/>
      <c r="G445" s="215" t="s">
        <v>813</v>
      </c>
      <c r="H445" s="226">
        <v>423</v>
      </c>
      <c r="I445" s="226">
        <v>431</v>
      </c>
      <c r="J445" s="226">
        <v>394</v>
      </c>
      <c r="K445" s="226">
        <v>0</v>
      </c>
      <c r="L445" s="215" t="s">
        <v>1121</v>
      </c>
      <c r="M445" s="215" t="s">
        <v>1199</v>
      </c>
    </row>
    <row r="446" spans="1:13" ht="16.2" thickBot="1" x14ac:dyDescent="0.35">
      <c r="A446" s="215"/>
      <c r="B446" s="224">
        <v>44268</v>
      </c>
      <c r="C446" s="226">
        <v>6</v>
      </c>
      <c r="D446" s="226">
        <v>6</v>
      </c>
      <c r="E446" s="226">
        <v>1</v>
      </c>
      <c r="F446" s="225"/>
      <c r="G446" s="215" t="s">
        <v>813</v>
      </c>
      <c r="H446" s="226">
        <v>6</v>
      </c>
      <c r="I446" s="226">
        <v>6</v>
      </c>
      <c r="J446" s="226">
        <v>4</v>
      </c>
      <c r="K446" s="226">
        <v>0</v>
      </c>
      <c r="L446" s="215" t="s">
        <v>1121</v>
      </c>
      <c r="M446" s="215">
        <v>6079010202</v>
      </c>
    </row>
    <row r="447" spans="1:13" ht="16.2" thickBot="1" x14ac:dyDescent="0.35">
      <c r="A447" s="215"/>
      <c r="B447" s="224">
        <v>44269</v>
      </c>
      <c r="C447" s="226">
        <v>29</v>
      </c>
      <c r="D447" s="226">
        <v>29</v>
      </c>
      <c r="E447" s="226">
        <v>1</v>
      </c>
      <c r="F447" s="225"/>
      <c r="G447" s="215" t="s">
        <v>813</v>
      </c>
      <c r="H447" s="226">
        <v>29</v>
      </c>
      <c r="I447" s="226">
        <v>29</v>
      </c>
      <c r="J447" s="226">
        <v>18</v>
      </c>
      <c r="K447" s="226">
        <v>1</v>
      </c>
      <c r="L447" s="215" t="s">
        <v>1121</v>
      </c>
      <c r="M447" s="215">
        <v>6079010302</v>
      </c>
    </row>
    <row r="448" spans="1:13" ht="16.2" thickBot="1" x14ac:dyDescent="0.35">
      <c r="A448" s="215"/>
      <c r="B448" s="224">
        <v>44270</v>
      </c>
      <c r="C448" s="226">
        <v>7</v>
      </c>
      <c r="D448" s="226">
        <v>7</v>
      </c>
      <c r="E448" s="226">
        <v>1</v>
      </c>
      <c r="F448" s="225"/>
      <c r="G448" s="215" t="s">
        <v>813</v>
      </c>
      <c r="H448" s="226">
        <v>7</v>
      </c>
      <c r="I448" s="226">
        <v>7</v>
      </c>
      <c r="J448" s="226">
        <v>5</v>
      </c>
      <c r="K448" s="226">
        <v>0</v>
      </c>
      <c r="L448" s="215" t="s">
        <v>1121</v>
      </c>
      <c r="M448" s="215">
        <v>6079010302</v>
      </c>
    </row>
    <row r="449" spans="1:13" ht="16.2" thickBot="1" x14ac:dyDescent="0.35">
      <c r="A449" s="215"/>
      <c r="B449" s="224">
        <v>44271</v>
      </c>
      <c r="C449" s="226">
        <v>268</v>
      </c>
      <c r="D449" s="226">
        <v>268</v>
      </c>
      <c r="E449" s="226">
        <v>1</v>
      </c>
      <c r="F449" s="225"/>
      <c r="G449" s="215" t="s">
        <v>813</v>
      </c>
      <c r="H449" s="226">
        <v>268</v>
      </c>
      <c r="I449" s="226">
        <v>268</v>
      </c>
      <c r="J449" s="226">
        <v>259</v>
      </c>
      <c r="K449" s="226">
        <v>0</v>
      </c>
      <c r="L449" s="215" t="s">
        <v>1066</v>
      </c>
      <c r="M449" s="215">
        <v>6029003308</v>
      </c>
    </row>
    <row r="450" spans="1:13" ht="16.2" thickBot="1" x14ac:dyDescent="0.35">
      <c r="A450" s="215"/>
      <c r="B450" s="224">
        <v>44272</v>
      </c>
      <c r="C450" s="226">
        <v>1099</v>
      </c>
      <c r="D450" s="226">
        <v>1101</v>
      </c>
      <c r="E450" s="226">
        <v>1</v>
      </c>
      <c r="F450" s="225"/>
      <c r="G450" s="215" t="s">
        <v>813</v>
      </c>
      <c r="H450" s="226">
        <v>1099</v>
      </c>
      <c r="I450" s="226">
        <v>1101</v>
      </c>
      <c r="J450" s="226">
        <v>918</v>
      </c>
      <c r="K450" s="226">
        <v>0</v>
      </c>
      <c r="L450" s="215" t="s">
        <v>1065</v>
      </c>
      <c r="M450" s="215">
        <v>6107004200</v>
      </c>
    </row>
    <row r="451" spans="1:13" ht="16.2" thickBot="1" x14ac:dyDescent="0.35">
      <c r="A451" s="215"/>
      <c r="B451" s="224">
        <v>44273</v>
      </c>
      <c r="C451" s="226">
        <v>216</v>
      </c>
      <c r="D451" s="226">
        <v>240</v>
      </c>
      <c r="E451" s="226">
        <v>1</v>
      </c>
      <c r="F451" s="225"/>
      <c r="G451" s="215" t="s">
        <v>813</v>
      </c>
      <c r="H451" s="226">
        <v>216</v>
      </c>
      <c r="I451" s="226">
        <v>240</v>
      </c>
      <c r="J451" s="226">
        <v>197</v>
      </c>
      <c r="K451" s="226">
        <v>0</v>
      </c>
      <c r="L451" s="215" t="s">
        <v>1065</v>
      </c>
      <c r="M451" s="215">
        <v>6107003302</v>
      </c>
    </row>
    <row r="452" spans="1:13" ht="47.4" thickBot="1" x14ac:dyDescent="0.35">
      <c r="A452" s="215"/>
      <c r="B452" s="224">
        <v>44274</v>
      </c>
      <c r="C452" s="226">
        <v>34</v>
      </c>
      <c r="D452" s="226">
        <v>34</v>
      </c>
      <c r="E452" s="226">
        <v>1</v>
      </c>
      <c r="F452" s="225" t="s">
        <v>1200</v>
      </c>
      <c r="G452" s="215" t="s">
        <v>813</v>
      </c>
      <c r="H452" s="226">
        <v>34</v>
      </c>
      <c r="I452" s="226">
        <v>34</v>
      </c>
      <c r="J452" s="226">
        <v>26</v>
      </c>
      <c r="K452" s="226">
        <v>0</v>
      </c>
      <c r="L452" s="215" t="s">
        <v>1066</v>
      </c>
      <c r="M452" s="215" t="s">
        <v>1201</v>
      </c>
    </row>
    <row r="453" spans="1:13" ht="63" thickBot="1" x14ac:dyDescent="0.35">
      <c r="A453" s="215"/>
      <c r="B453" s="224">
        <v>44275</v>
      </c>
      <c r="C453" s="226">
        <v>777</v>
      </c>
      <c r="D453" s="226">
        <v>930</v>
      </c>
      <c r="E453" s="226">
        <v>1</v>
      </c>
      <c r="F453" s="225"/>
      <c r="G453" s="215" t="s">
        <v>813</v>
      </c>
      <c r="H453" s="226">
        <v>777</v>
      </c>
      <c r="I453" s="226">
        <v>930</v>
      </c>
      <c r="J453" s="226">
        <v>790</v>
      </c>
      <c r="K453" s="226">
        <v>0</v>
      </c>
      <c r="L453" s="215" t="s">
        <v>1065</v>
      </c>
      <c r="M453" s="215" t="s">
        <v>1202</v>
      </c>
    </row>
    <row r="454" spans="1:13" ht="250.2" thickBot="1" x14ac:dyDescent="0.35">
      <c r="A454" s="215"/>
      <c r="B454" s="224">
        <v>44276</v>
      </c>
      <c r="C454" s="226">
        <v>2429</v>
      </c>
      <c r="D454" s="226">
        <v>2460</v>
      </c>
      <c r="E454" s="226">
        <v>8</v>
      </c>
      <c r="F454" s="225"/>
      <c r="G454" s="215" t="s">
        <v>813</v>
      </c>
      <c r="H454" s="226">
        <v>19428</v>
      </c>
      <c r="I454" s="226">
        <v>19679</v>
      </c>
      <c r="J454" s="226">
        <v>18033</v>
      </c>
      <c r="K454" s="226">
        <v>2</v>
      </c>
      <c r="L454" s="215" t="s">
        <v>1065</v>
      </c>
      <c r="M454" s="215" t="s">
        <v>1203</v>
      </c>
    </row>
    <row r="455" spans="1:13" ht="94.2" thickBot="1" x14ac:dyDescent="0.35">
      <c r="A455" s="215"/>
      <c r="B455" s="224">
        <v>44277</v>
      </c>
      <c r="C455" s="226">
        <v>1153</v>
      </c>
      <c r="D455" s="226">
        <v>1156</v>
      </c>
      <c r="E455" s="226">
        <v>2</v>
      </c>
      <c r="F455" s="225"/>
      <c r="G455" s="215" t="s">
        <v>813</v>
      </c>
      <c r="H455" s="226">
        <v>2306</v>
      </c>
      <c r="I455" s="226">
        <v>2311</v>
      </c>
      <c r="J455" s="226">
        <v>2132</v>
      </c>
      <c r="K455" s="226">
        <v>1</v>
      </c>
      <c r="L455" s="215" t="s">
        <v>1065</v>
      </c>
      <c r="M455" s="215" t="s">
        <v>1204</v>
      </c>
    </row>
    <row r="456" spans="1:13" ht="16.2" thickBot="1" x14ac:dyDescent="0.35">
      <c r="A456" s="215"/>
      <c r="B456" s="224">
        <v>44278</v>
      </c>
      <c r="C456" s="226">
        <v>148</v>
      </c>
      <c r="D456" s="226">
        <v>148</v>
      </c>
      <c r="E456" s="226">
        <v>1</v>
      </c>
      <c r="F456" s="225"/>
      <c r="G456" s="215" t="s">
        <v>813</v>
      </c>
      <c r="H456" s="226">
        <v>148</v>
      </c>
      <c r="I456" s="226">
        <v>148</v>
      </c>
      <c r="J456" s="226">
        <v>132</v>
      </c>
      <c r="K456" s="226">
        <v>0</v>
      </c>
      <c r="L456" s="215" t="s">
        <v>1065</v>
      </c>
      <c r="M456" s="215">
        <v>6107003904</v>
      </c>
    </row>
    <row r="457" spans="1:13" ht="16.2" thickBot="1" x14ac:dyDescent="0.35">
      <c r="A457" s="215"/>
      <c r="B457" s="224">
        <v>44279</v>
      </c>
      <c r="C457" s="226">
        <v>162</v>
      </c>
      <c r="D457" s="226">
        <v>162</v>
      </c>
      <c r="E457" s="226">
        <v>1</v>
      </c>
      <c r="F457" s="225"/>
      <c r="G457" s="215" t="s">
        <v>813</v>
      </c>
      <c r="H457" s="226">
        <v>162</v>
      </c>
      <c r="I457" s="226">
        <v>162</v>
      </c>
      <c r="J457" s="226">
        <v>144</v>
      </c>
      <c r="K457" s="226">
        <v>0</v>
      </c>
      <c r="L457" s="215" t="s">
        <v>1065</v>
      </c>
      <c r="M457" s="215">
        <v>6107003401</v>
      </c>
    </row>
    <row r="458" spans="1:13" ht="16.2" thickBot="1" x14ac:dyDescent="0.35">
      <c r="A458" s="215"/>
      <c r="B458" s="224">
        <v>44280</v>
      </c>
      <c r="C458" s="226">
        <v>44</v>
      </c>
      <c r="D458" s="226">
        <v>44</v>
      </c>
      <c r="E458" s="226">
        <v>1</v>
      </c>
      <c r="F458" s="225"/>
      <c r="G458" s="215" t="s">
        <v>813</v>
      </c>
      <c r="H458" s="226">
        <v>44</v>
      </c>
      <c r="I458" s="226">
        <v>44</v>
      </c>
      <c r="J458" s="226">
        <v>41</v>
      </c>
      <c r="K458" s="226">
        <v>0</v>
      </c>
      <c r="L458" s="215" t="s">
        <v>1065</v>
      </c>
      <c r="M458" s="215">
        <v>6107003402</v>
      </c>
    </row>
    <row r="459" spans="1:13" ht="16.2" thickBot="1" x14ac:dyDescent="0.35">
      <c r="A459" s="215"/>
      <c r="B459" s="224">
        <v>44282</v>
      </c>
      <c r="C459" s="226">
        <v>23</v>
      </c>
      <c r="D459" s="226">
        <v>23</v>
      </c>
      <c r="E459" s="226">
        <v>1</v>
      </c>
      <c r="F459" s="225"/>
      <c r="G459" s="215" t="s">
        <v>813</v>
      </c>
      <c r="H459" s="226">
        <v>23</v>
      </c>
      <c r="I459" s="226">
        <v>23</v>
      </c>
      <c r="J459" s="226">
        <v>20</v>
      </c>
      <c r="K459" s="226">
        <v>0</v>
      </c>
      <c r="L459" s="215" t="s">
        <v>1065</v>
      </c>
      <c r="M459" s="215">
        <v>6107003902</v>
      </c>
    </row>
    <row r="460" spans="1:13" ht="31.8" thickBot="1" x14ac:dyDescent="0.35">
      <c r="A460" s="215"/>
      <c r="B460" s="224">
        <v>44283</v>
      </c>
      <c r="C460" s="226">
        <v>6</v>
      </c>
      <c r="D460" s="226">
        <v>6</v>
      </c>
      <c r="E460" s="226">
        <v>1</v>
      </c>
      <c r="F460" s="225"/>
      <c r="G460" s="215" t="s">
        <v>813</v>
      </c>
      <c r="H460" s="226">
        <v>6</v>
      </c>
      <c r="I460" s="226">
        <v>6</v>
      </c>
      <c r="J460" s="226">
        <v>4</v>
      </c>
      <c r="K460" s="226">
        <v>0</v>
      </c>
      <c r="L460" s="215" t="s">
        <v>1065</v>
      </c>
      <c r="M460" s="215" t="s">
        <v>1205</v>
      </c>
    </row>
    <row r="461" spans="1:13" ht="31.8" thickBot="1" x14ac:dyDescent="0.35">
      <c r="A461" s="215"/>
      <c r="B461" s="224">
        <v>44285</v>
      </c>
      <c r="C461" s="226">
        <v>15</v>
      </c>
      <c r="D461" s="226">
        <v>15</v>
      </c>
      <c r="E461" s="226">
        <v>1</v>
      </c>
      <c r="F461" s="225"/>
      <c r="G461" s="215" t="s">
        <v>813</v>
      </c>
      <c r="H461" s="226">
        <v>15</v>
      </c>
      <c r="I461" s="226">
        <v>15</v>
      </c>
      <c r="J461" s="226">
        <v>17</v>
      </c>
      <c r="K461" s="226">
        <v>0</v>
      </c>
      <c r="L461" s="215" t="s">
        <v>1065</v>
      </c>
      <c r="M461" s="215" t="s">
        <v>1206</v>
      </c>
    </row>
    <row r="462" spans="1:13" ht="31.8" thickBot="1" x14ac:dyDescent="0.35">
      <c r="A462" s="215"/>
      <c r="B462" s="224">
        <v>44287</v>
      </c>
      <c r="C462" s="226">
        <v>129</v>
      </c>
      <c r="D462" s="226">
        <v>131</v>
      </c>
      <c r="E462" s="226">
        <v>1</v>
      </c>
      <c r="F462" s="225" t="s">
        <v>1207</v>
      </c>
      <c r="G462" s="215" t="s">
        <v>813</v>
      </c>
      <c r="H462" s="226">
        <v>129</v>
      </c>
      <c r="I462" s="226">
        <v>131</v>
      </c>
      <c r="J462" s="226">
        <v>103</v>
      </c>
      <c r="K462" s="226">
        <v>0</v>
      </c>
      <c r="L462" s="215" t="s">
        <v>1065</v>
      </c>
      <c r="M462" s="215" t="s">
        <v>1208</v>
      </c>
    </row>
    <row r="463" spans="1:13" ht="16.2" thickBot="1" x14ac:dyDescent="0.35">
      <c r="A463" s="215"/>
      <c r="B463" s="224">
        <v>44289</v>
      </c>
      <c r="C463" s="226">
        <v>18</v>
      </c>
      <c r="D463" s="226">
        <v>18</v>
      </c>
      <c r="E463" s="226">
        <v>1</v>
      </c>
      <c r="F463" s="225" t="s">
        <v>1209</v>
      </c>
      <c r="G463" s="215" t="s">
        <v>813</v>
      </c>
      <c r="H463" s="226">
        <v>18</v>
      </c>
      <c r="I463" s="226">
        <v>18</v>
      </c>
      <c r="J463" s="226">
        <v>17</v>
      </c>
      <c r="K463" s="226">
        <v>0</v>
      </c>
      <c r="L463" s="215" t="s">
        <v>1065</v>
      </c>
      <c r="M463" s="215">
        <v>6019007600</v>
      </c>
    </row>
    <row r="464" spans="1:13" ht="31.8" thickBot="1" x14ac:dyDescent="0.35">
      <c r="A464" s="215"/>
      <c r="B464" s="224">
        <v>44290</v>
      </c>
      <c r="C464" s="226">
        <v>33</v>
      </c>
      <c r="D464" s="226">
        <v>33</v>
      </c>
      <c r="E464" s="226">
        <v>1</v>
      </c>
      <c r="F464" s="225"/>
      <c r="G464" s="215" t="s">
        <v>813</v>
      </c>
      <c r="H464" s="226">
        <v>33</v>
      </c>
      <c r="I464" s="226">
        <v>33</v>
      </c>
      <c r="J464" s="226">
        <v>23</v>
      </c>
      <c r="K464" s="226">
        <v>0</v>
      </c>
      <c r="L464" s="215" t="s">
        <v>1065</v>
      </c>
      <c r="M464" s="215" t="s">
        <v>1210</v>
      </c>
    </row>
    <row r="465" spans="1:13" ht="16.2" thickBot="1" x14ac:dyDescent="0.35">
      <c r="A465" s="215"/>
      <c r="B465" s="224">
        <v>44291</v>
      </c>
      <c r="C465" s="226">
        <v>10</v>
      </c>
      <c r="D465" s="226">
        <v>10</v>
      </c>
      <c r="E465" s="226">
        <v>1</v>
      </c>
      <c r="F465" s="225"/>
      <c r="G465" s="215" t="s">
        <v>813</v>
      </c>
      <c r="H465" s="226">
        <v>10</v>
      </c>
      <c r="I465" s="226">
        <v>10</v>
      </c>
      <c r="J465" s="226">
        <v>4</v>
      </c>
      <c r="K465" s="226">
        <v>0</v>
      </c>
      <c r="L465" s="215" t="s">
        <v>1065</v>
      </c>
      <c r="M465" s="215">
        <v>6019006802</v>
      </c>
    </row>
    <row r="466" spans="1:13" ht="16.2" thickBot="1" x14ac:dyDescent="0.35">
      <c r="A466" s="215"/>
      <c r="B466" s="224">
        <v>44292</v>
      </c>
      <c r="C466" s="226">
        <v>3</v>
      </c>
      <c r="D466" s="226">
        <v>3</v>
      </c>
      <c r="E466" s="226">
        <v>1</v>
      </c>
      <c r="F466" s="225"/>
      <c r="G466" s="215" t="s">
        <v>813</v>
      </c>
      <c r="H466" s="226">
        <v>3</v>
      </c>
      <c r="I466" s="226">
        <v>3</v>
      </c>
      <c r="J466" s="226">
        <v>2</v>
      </c>
      <c r="K466" s="226">
        <v>0</v>
      </c>
      <c r="L466" s="215" t="s">
        <v>1065</v>
      </c>
      <c r="M466" s="215">
        <v>6019006301</v>
      </c>
    </row>
    <row r="467" spans="1:13" ht="125.4" thickBot="1" x14ac:dyDescent="0.35">
      <c r="A467" s="215"/>
      <c r="B467" s="224">
        <v>44293</v>
      </c>
      <c r="C467" s="226">
        <v>2686</v>
      </c>
      <c r="D467" s="226">
        <v>2730</v>
      </c>
      <c r="E467" s="226">
        <v>3</v>
      </c>
      <c r="F467" s="225" t="s">
        <v>1211</v>
      </c>
      <c r="G467" s="215" t="s">
        <v>813</v>
      </c>
      <c r="H467" s="226">
        <v>8058</v>
      </c>
      <c r="I467" s="226">
        <v>8190</v>
      </c>
      <c r="J467" s="226">
        <v>7664</v>
      </c>
      <c r="K467" s="226">
        <v>0</v>
      </c>
      <c r="L467" s="215" t="s">
        <v>1065</v>
      </c>
      <c r="M467" s="215" t="s">
        <v>1212</v>
      </c>
    </row>
    <row r="468" spans="1:13" ht="47.4" thickBot="1" x14ac:dyDescent="0.35">
      <c r="A468" s="215"/>
      <c r="B468" s="224">
        <v>44296</v>
      </c>
      <c r="C468" s="226">
        <v>508</v>
      </c>
      <c r="D468" s="226">
        <v>612</v>
      </c>
      <c r="E468" s="226">
        <v>1</v>
      </c>
      <c r="F468" s="225"/>
      <c r="G468" s="215" t="s">
        <v>813</v>
      </c>
      <c r="H468" s="226">
        <v>508</v>
      </c>
      <c r="I468" s="226">
        <v>612</v>
      </c>
      <c r="J468" s="226">
        <v>527</v>
      </c>
      <c r="K468" s="226">
        <v>0</v>
      </c>
      <c r="L468" s="215" t="s">
        <v>1065</v>
      </c>
      <c r="M468" s="215" t="s">
        <v>1213</v>
      </c>
    </row>
    <row r="469" spans="1:13" ht="16.2" thickBot="1" x14ac:dyDescent="0.35">
      <c r="A469" s="215"/>
      <c r="B469" s="224">
        <v>44297</v>
      </c>
      <c r="C469" s="226">
        <v>10</v>
      </c>
      <c r="D469" s="226">
        <v>10</v>
      </c>
      <c r="E469" s="226">
        <v>1</v>
      </c>
      <c r="F469" s="225"/>
      <c r="G469" s="215" t="s">
        <v>813</v>
      </c>
      <c r="H469" s="226">
        <v>10</v>
      </c>
      <c r="I469" s="226">
        <v>10</v>
      </c>
      <c r="J469" s="226">
        <v>5</v>
      </c>
      <c r="K469" s="226">
        <v>0</v>
      </c>
      <c r="L469" s="215" t="s">
        <v>1065</v>
      </c>
      <c r="M469" s="215">
        <v>6107004301</v>
      </c>
    </row>
    <row r="470" spans="1:13" ht="16.2" thickBot="1" x14ac:dyDescent="0.35">
      <c r="A470" s="215"/>
      <c r="B470" s="224">
        <v>44298</v>
      </c>
      <c r="C470" s="226">
        <v>16</v>
      </c>
      <c r="D470" s="226">
        <v>16</v>
      </c>
      <c r="E470" s="226">
        <v>1</v>
      </c>
      <c r="F470" s="225"/>
      <c r="G470" s="215" t="s">
        <v>813</v>
      </c>
      <c r="H470" s="226">
        <v>16</v>
      </c>
      <c r="I470" s="226">
        <v>16</v>
      </c>
      <c r="J470" s="226">
        <v>15</v>
      </c>
      <c r="K470" s="226">
        <v>0</v>
      </c>
      <c r="L470" s="215" t="s">
        <v>1065</v>
      </c>
      <c r="M470" s="215">
        <v>6107004301</v>
      </c>
    </row>
    <row r="471" spans="1:13" ht="31.8" thickBot="1" x14ac:dyDescent="0.35">
      <c r="A471" s="215"/>
      <c r="B471" s="224">
        <v>44300</v>
      </c>
      <c r="C471" s="226">
        <v>3</v>
      </c>
      <c r="D471" s="226">
        <v>3</v>
      </c>
      <c r="E471" s="226">
        <v>1</v>
      </c>
      <c r="F471" s="225"/>
      <c r="G471" s="215" t="s">
        <v>813</v>
      </c>
      <c r="H471" s="226">
        <v>3</v>
      </c>
      <c r="I471" s="226">
        <v>3</v>
      </c>
      <c r="J471" s="226">
        <v>3</v>
      </c>
      <c r="K471" s="226">
        <v>0</v>
      </c>
      <c r="L471" s="215" t="s">
        <v>1065</v>
      </c>
      <c r="M471" s="215" t="s">
        <v>1214</v>
      </c>
    </row>
    <row r="472" spans="1:13" ht="16.2" thickBot="1" x14ac:dyDescent="0.35">
      <c r="A472" s="215"/>
      <c r="B472" s="224">
        <v>44301</v>
      </c>
      <c r="C472" s="226">
        <v>1079</v>
      </c>
      <c r="D472" s="226">
        <v>1082</v>
      </c>
      <c r="E472" s="226">
        <v>1</v>
      </c>
      <c r="F472" s="225"/>
      <c r="G472" s="215" t="s">
        <v>813</v>
      </c>
      <c r="H472" s="226">
        <v>1079</v>
      </c>
      <c r="I472" s="226">
        <v>1082</v>
      </c>
      <c r="J472" s="226">
        <v>1010</v>
      </c>
      <c r="K472" s="226">
        <v>0</v>
      </c>
      <c r="L472" s="215" t="s">
        <v>1065</v>
      </c>
      <c r="M472" s="215">
        <v>6019007700</v>
      </c>
    </row>
    <row r="473" spans="1:13" ht="31.8" thickBot="1" x14ac:dyDescent="0.35">
      <c r="A473" s="215"/>
      <c r="B473" s="224">
        <v>44302</v>
      </c>
      <c r="C473" s="226">
        <v>11</v>
      </c>
      <c r="D473" s="226">
        <v>11</v>
      </c>
      <c r="E473" s="226">
        <v>1</v>
      </c>
      <c r="F473" s="225"/>
      <c r="G473" s="215" t="s">
        <v>813</v>
      </c>
      <c r="H473" s="226">
        <v>11</v>
      </c>
      <c r="I473" s="226">
        <v>11</v>
      </c>
      <c r="J473" s="226">
        <v>7</v>
      </c>
      <c r="K473" s="226">
        <v>0</v>
      </c>
      <c r="L473" s="215" t="s">
        <v>1065</v>
      </c>
      <c r="M473" s="215" t="s">
        <v>1214</v>
      </c>
    </row>
    <row r="474" spans="1:13" ht="31.8" thickBot="1" x14ac:dyDescent="0.35">
      <c r="A474" s="215"/>
      <c r="B474" s="224">
        <v>44303</v>
      </c>
      <c r="C474" s="226">
        <v>19</v>
      </c>
      <c r="D474" s="226">
        <v>19</v>
      </c>
      <c r="E474" s="226">
        <v>1</v>
      </c>
      <c r="F474" s="225"/>
      <c r="G474" s="215" t="s">
        <v>813</v>
      </c>
      <c r="H474" s="226">
        <v>19</v>
      </c>
      <c r="I474" s="226">
        <v>19</v>
      </c>
      <c r="J474" s="226">
        <v>19</v>
      </c>
      <c r="K474" s="226">
        <v>0</v>
      </c>
      <c r="L474" s="215" t="s">
        <v>1065</v>
      </c>
      <c r="M474" s="215" t="s">
        <v>1215</v>
      </c>
    </row>
    <row r="475" spans="1:13" ht="16.2" thickBot="1" x14ac:dyDescent="0.35">
      <c r="A475" s="215"/>
      <c r="B475" s="224">
        <v>44305</v>
      </c>
      <c r="C475" s="226">
        <v>5</v>
      </c>
      <c r="D475" s="226">
        <v>5</v>
      </c>
      <c r="E475" s="226">
        <v>1</v>
      </c>
      <c r="F475" s="225"/>
      <c r="G475" s="215" t="s">
        <v>813</v>
      </c>
      <c r="H475" s="226">
        <v>5</v>
      </c>
      <c r="I475" s="226">
        <v>5</v>
      </c>
      <c r="J475" s="226">
        <v>5</v>
      </c>
      <c r="K475" s="226">
        <v>0</v>
      </c>
      <c r="L475" s="215" t="s">
        <v>1129</v>
      </c>
      <c r="M475" s="215">
        <v>6083000501</v>
      </c>
    </row>
    <row r="476" spans="1:13" ht="16.2" thickBot="1" x14ac:dyDescent="0.35">
      <c r="A476" s="215"/>
      <c r="B476" s="224">
        <v>44307</v>
      </c>
      <c r="C476" s="226">
        <v>11</v>
      </c>
      <c r="D476" s="226">
        <v>11</v>
      </c>
      <c r="E476" s="226">
        <v>1</v>
      </c>
      <c r="F476" s="225"/>
      <c r="G476" s="215" t="s">
        <v>813</v>
      </c>
      <c r="H476" s="226">
        <v>11</v>
      </c>
      <c r="I476" s="226">
        <v>11</v>
      </c>
      <c r="J476" s="226">
        <v>10</v>
      </c>
      <c r="K476" s="226">
        <v>0</v>
      </c>
      <c r="L476" s="215" t="s">
        <v>1129</v>
      </c>
      <c r="M476" s="215">
        <v>6083001500</v>
      </c>
    </row>
    <row r="477" spans="1:13" ht="16.2" thickBot="1" x14ac:dyDescent="0.35">
      <c r="A477" s="215"/>
      <c r="B477" s="224">
        <v>44308</v>
      </c>
      <c r="C477" s="226">
        <v>14</v>
      </c>
      <c r="D477" s="226">
        <v>14</v>
      </c>
      <c r="E477" s="226">
        <v>1</v>
      </c>
      <c r="F477" s="225"/>
      <c r="G477" s="215" t="s">
        <v>813</v>
      </c>
      <c r="H477" s="226">
        <v>14</v>
      </c>
      <c r="I477" s="226">
        <v>14</v>
      </c>
      <c r="J477" s="226">
        <v>14</v>
      </c>
      <c r="K477" s="226">
        <v>0</v>
      </c>
      <c r="L477" s="215" t="s">
        <v>1076</v>
      </c>
      <c r="M477" s="215">
        <v>6083001908</v>
      </c>
    </row>
    <row r="478" spans="1:13" ht="16.2" thickBot="1" x14ac:dyDescent="0.35">
      <c r="A478" s="215"/>
      <c r="B478" s="224">
        <v>44309</v>
      </c>
      <c r="C478" s="226">
        <v>64</v>
      </c>
      <c r="D478" s="226">
        <v>64</v>
      </c>
      <c r="E478" s="226">
        <v>1</v>
      </c>
      <c r="F478" s="225"/>
      <c r="G478" s="215" t="s">
        <v>813</v>
      </c>
      <c r="H478" s="226">
        <v>64</v>
      </c>
      <c r="I478" s="226">
        <v>64</v>
      </c>
      <c r="J478" s="226">
        <v>64</v>
      </c>
      <c r="K478" s="226">
        <v>0</v>
      </c>
      <c r="L478" s="215" t="s">
        <v>1076</v>
      </c>
      <c r="M478" s="215">
        <v>6083001907</v>
      </c>
    </row>
    <row r="479" spans="1:13" ht="31.8" thickBot="1" x14ac:dyDescent="0.35">
      <c r="A479" s="215"/>
      <c r="B479" s="224">
        <v>44310</v>
      </c>
      <c r="C479" s="226">
        <v>111</v>
      </c>
      <c r="D479" s="226">
        <v>113</v>
      </c>
      <c r="E479" s="226">
        <v>1</v>
      </c>
      <c r="F479" s="225" t="s">
        <v>1216</v>
      </c>
      <c r="G479" s="215" t="s">
        <v>813</v>
      </c>
      <c r="H479" s="226">
        <v>111</v>
      </c>
      <c r="I479" s="226">
        <v>113</v>
      </c>
      <c r="J479" s="226">
        <v>96</v>
      </c>
      <c r="K479" s="226">
        <v>0</v>
      </c>
      <c r="L479" s="215" t="s">
        <v>1065</v>
      </c>
      <c r="M479" s="215" t="s">
        <v>1217</v>
      </c>
    </row>
    <row r="480" spans="1:13" ht="47.4" thickBot="1" x14ac:dyDescent="0.35">
      <c r="A480" s="215"/>
      <c r="B480" s="224">
        <v>44311</v>
      </c>
      <c r="C480" s="226">
        <v>802</v>
      </c>
      <c r="D480" s="226">
        <v>941</v>
      </c>
      <c r="E480" s="226">
        <v>1</v>
      </c>
      <c r="F480" s="225"/>
      <c r="G480" s="215" t="s">
        <v>813</v>
      </c>
      <c r="H480" s="226">
        <v>802</v>
      </c>
      <c r="I480" s="226">
        <v>941</v>
      </c>
      <c r="J480" s="226">
        <v>896</v>
      </c>
      <c r="K480" s="226">
        <v>0</v>
      </c>
      <c r="L480" s="215" t="s">
        <v>1065</v>
      </c>
      <c r="M480" s="215" t="s">
        <v>1218</v>
      </c>
    </row>
    <row r="481" spans="1:13" ht="47.4" thickBot="1" x14ac:dyDescent="0.35">
      <c r="A481" s="215"/>
      <c r="B481" s="224">
        <v>44312</v>
      </c>
      <c r="C481" s="226">
        <v>51</v>
      </c>
      <c r="D481" s="226">
        <v>54</v>
      </c>
      <c r="E481" s="226">
        <v>1</v>
      </c>
      <c r="F481" s="225"/>
      <c r="G481" s="215" t="s">
        <v>813</v>
      </c>
      <c r="H481" s="226">
        <v>51</v>
      </c>
      <c r="I481" s="226">
        <v>54</v>
      </c>
      <c r="J481" s="226">
        <v>27</v>
      </c>
      <c r="K481" s="226">
        <v>0</v>
      </c>
      <c r="L481" s="215" t="s">
        <v>1066</v>
      </c>
      <c r="M481" s="215" t="s">
        <v>1219</v>
      </c>
    </row>
    <row r="482" spans="1:13" ht="156.6" thickBot="1" x14ac:dyDescent="0.35">
      <c r="A482" s="215"/>
      <c r="B482" s="224">
        <v>44313</v>
      </c>
      <c r="C482" s="226">
        <v>1518</v>
      </c>
      <c r="D482" s="226">
        <v>1527</v>
      </c>
      <c r="E482" s="226">
        <v>4</v>
      </c>
      <c r="F482" s="225"/>
      <c r="G482" s="215" t="s">
        <v>813</v>
      </c>
      <c r="H482" s="226">
        <v>6073</v>
      </c>
      <c r="I482" s="226">
        <v>6106</v>
      </c>
      <c r="J482" s="226">
        <v>5584</v>
      </c>
      <c r="K482" s="226">
        <v>2</v>
      </c>
      <c r="L482" s="215" t="s">
        <v>1066</v>
      </c>
      <c r="M482" s="215" t="s">
        <v>1220</v>
      </c>
    </row>
    <row r="483" spans="1:13" ht="16.2" thickBot="1" x14ac:dyDescent="0.35">
      <c r="A483" s="215"/>
      <c r="B483" s="224">
        <v>44314</v>
      </c>
      <c r="C483" s="226">
        <v>379</v>
      </c>
      <c r="D483" s="226">
        <v>389</v>
      </c>
      <c r="E483" s="226">
        <v>1</v>
      </c>
      <c r="F483" s="225"/>
      <c r="G483" s="215" t="s">
        <v>813</v>
      </c>
      <c r="H483" s="226">
        <v>379</v>
      </c>
      <c r="I483" s="226">
        <v>389</v>
      </c>
      <c r="J483" s="226">
        <v>337</v>
      </c>
      <c r="K483" s="226">
        <v>0</v>
      </c>
      <c r="L483" s="215" t="s">
        <v>1065</v>
      </c>
      <c r="M483" s="215">
        <v>6107002702</v>
      </c>
    </row>
    <row r="484" spans="1:13" ht="16.2" thickBot="1" x14ac:dyDescent="0.35">
      <c r="A484" s="215"/>
      <c r="B484" s="224">
        <v>44315</v>
      </c>
      <c r="C484" s="226">
        <v>95</v>
      </c>
      <c r="D484" s="226">
        <v>95</v>
      </c>
      <c r="E484" s="226">
        <v>1</v>
      </c>
      <c r="F484" s="225"/>
      <c r="G484" s="215" t="s">
        <v>813</v>
      </c>
      <c r="H484" s="226">
        <v>95</v>
      </c>
      <c r="I484" s="226">
        <v>95</v>
      </c>
      <c r="J484" s="226">
        <v>90</v>
      </c>
      <c r="K484" s="226">
        <v>0</v>
      </c>
      <c r="L484" s="215" t="s">
        <v>1065</v>
      </c>
      <c r="M484" s="215">
        <v>6107003902</v>
      </c>
    </row>
    <row r="485" spans="1:13" ht="16.2" thickBot="1" x14ac:dyDescent="0.35">
      <c r="A485" s="215"/>
      <c r="B485" s="224">
        <v>44316</v>
      </c>
      <c r="C485" s="226">
        <v>89</v>
      </c>
      <c r="D485" s="226">
        <v>89</v>
      </c>
      <c r="E485" s="226">
        <v>1</v>
      </c>
      <c r="F485" s="225"/>
      <c r="G485" s="215" t="s">
        <v>813</v>
      </c>
      <c r="H485" s="226">
        <v>89</v>
      </c>
      <c r="I485" s="226">
        <v>89</v>
      </c>
      <c r="J485" s="226">
        <v>93</v>
      </c>
      <c r="K485" s="226">
        <v>0</v>
      </c>
      <c r="L485" s="215" t="s">
        <v>1061</v>
      </c>
      <c r="M485" s="215">
        <v>6029006011</v>
      </c>
    </row>
    <row r="486" spans="1:13" ht="16.2" thickBot="1" x14ac:dyDescent="0.35">
      <c r="A486" s="215"/>
      <c r="B486" s="224">
        <v>44317</v>
      </c>
      <c r="C486" s="226">
        <v>365</v>
      </c>
      <c r="D486" s="226">
        <v>365</v>
      </c>
      <c r="E486" s="226">
        <v>1</v>
      </c>
      <c r="F486" s="225"/>
      <c r="G486" s="215" t="s">
        <v>813</v>
      </c>
      <c r="H486" s="226">
        <v>365</v>
      </c>
      <c r="I486" s="226">
        <v>365</v>
      </c>
      <c r="J486" s="226">
        <v>339</v>
      </c>
      <c r="K486" s="226">
        <v>0</v>
      </c>
      <c r="L486" s="215" t="s">
        <v>1061</v>
      </c>
      <c r="M486" s="215">
        <v>6029006011</v>
      </c>
    </row>
    <row r="487" spans="1:13" ht="281.39999999999998" thickBot="1" x14ac:dyDescent="0.35">
      <c r="A487" s="215"/>
      <c r="B487" s="224">
        <v>44318</v>
      </c>
      <c r="C487" s="226">
        <v>4232</v>
      </c>
      <c r="D487" s="226">
        <v>4390</v>
      </c>
      <c r="E487" s="226">
        <v>4</v>
      </c>
      <c r="F487" s="225"/>
      <c r="G487" s="215" t="s">
        <v>813</v>
      </c>
      <c r="H487" s="226">
        <v>16929</v>
      </c>
      <c r="I487" s="226">
        <v>17560</v>
      </c>
      <c r="J487" s="226">
        <v>16413</v>
      </c>
      <c r="K487" s="226">
        <v>2</v>
      </c>
      <c r="L487" s="215" t="s">
        <v>1066</v>
      </c>
      <c r="M487" s="215" t="s">
        <v>1221</v>
      </c>
    </row>
    <row r="488" spans="1:13" ht="16.2" thickBot="1" x14ac:dyDescent="0.35">
      <c r="A488" s="215"/>
      <c r="B488" s="224">
        <v>44319</v>
      </c>
      <c r="C488" s="226">
        <v>142</v>
      </c>
      <c r="D488" s="226">
        <v>142</v>
      </c>
      <c r="E488" s="226">
        <v>1</v>
      </c>
      <c r="F488" s="225"/>
      <c r="G488" s="215" t="s">
        <v>1222</v>
      </c>
      <c r="H488" s="226">
        <v>142</v>
      </c>
      <c r="I488" s="226">
        <v>142</v>
      </c>
      <c r="J488" s="226">
        <v>142</v>
      </c>
      <c r="K488" s="226">
        <v>0</v>
      </c>
      <c r="L488" s="215" t="s">
        <v>1065</v>
      </c>
      <c r="M488" s="215">
        <v>6019001700</v>
      </c>
    </row>
    <row r="489" spans="1:13" ht="16.2" thickBot="1" x14ac:dyDescent="0.35">
      <c r="A489" s="215"/>
      <c r="B489" s="224">
        <v>44320</v>
      </c>
      <c r="C489" s="226">
        <v>345</v>
      </c>
      <c r="D489" s="226">
        <v>345</v>
      </c>
      <c r="E489" s="226">
        <v>1</v>
      </c>
      <c r="F489" s="225"/>
      <c r="G489" s="215" t="s">
        <v>1222</v>
      </c>
      <c r="H489" s="226">
        <v>345</v>
      </c>
      <c r="I489" s="226">
        <v>345</v>
      </c>
      <c r="J489" s="226">
        <v>306</v>
      </c>
      <c r="K489" s="226">
        <v>0</v>
      </c>
      <c r="L489" s="215" t="s">
        <v>1065</v>
      </c>
      <c r="M489" s="215">
        <v>6031001601</v>
      </c>
    </row>
    <row r="490" spans="1:13" ht="16.2" thickBot="1" x14ac:dyDescent="0.35">
      <c r="A490" s="215"/>
      <c r="B490" s="224">
        <v>44322</v>
      </c>
      <c r="C490" s="226">
        <v>385</v>
      </c>
      <c r="D490" s="226">
        <v>407</v>
      </c>
      <c r="E490" s="226">
        <v>2</v>
      </c>
      <c r="F490" s="225"/>
      <c r="G490" s="215" t="s">
        <v>1222</v>
      </c>
      <c r="H490" s="226">
        <v>770</v>
      </c>
      <c r="I490" s="226">
        <v>814</v>
      </c>
      <c r="J490" s="226">
        <v>748</v>
      </c>
      <c r="K490" s="226">
        <v>0</v>
      </c>
      <c r="L490" s="215" t="s">
        <v>1065</v>
      </c>
      <c r="M490" s="215">
        <v>6107003301</v>
      </c>
    </row>
    <row r="491" spans="1:13" ht="16.2" thickBot="1" x14ac:dyDescent="0.35">
      <c r="A491" s="215"/>
      <c r="B491" s="224">
        <v>44323</v>
      </c>
      <c r="C491" s="226">
        <v>39</v>
      </c>
      <c r="D491" s="226">
        <v>111</v>
      </c>
      <c r="E491" s="226">
        <v>1</v>
      </c>
      <c r="F491" s="225" t="s">
        <v>1223</v>
      </c>
      <c r="G491" s="215" t="s">
        <v>1222</v>
      </c>
      <c r="H491" s="226">
        <v>39</v>
      </c>
      <c r="I491" s="226">
        <v>111</v>
      </c>
      <c r="J491" s="226">
        <v>104</v>
      </c>
      <c r="K491" s="226">
        <v>0</v>
      </c>
      <c r="L491" s="215" t="s">
        <v>1065</v>
      </c>
      <c r="M491" s="215">
        <v>6107000304</v>
      </c>
    </row>
    <row r="492" spans="1:13" ht="47.4" thickBot="1" x14ac:dyDescent="0.35">
      <c r="A492" s="215"/>
      <c r="B492" s="224">
        <v>44324</v>
      </c>
      <c r="C492" s="226">
        <v>87</v>
      </c>
      <c r="D492" s="226">
        <v>87</v>
      </c>
      <c r="E492" s="226">
        <v>1</v>
      </c>
      <c r="F492" s="225"/>
      <c r="G492" s="215" t="s">
        <v>1222</v>
      </c>
      <c r="H492" s="226">
        <v>87</v>
      </c>
      <c r="I492" s="226">
        <v>87</v>
      </c>
      <c r="J492" s="226">
        <v>82</v>
      </c>
      <c r="K492" s="226">
        <v>0</v>
      </c>
      <c r="L492" s="215" t="s">
        <v>1066</v>
      </c>
      <c r="M492" s="215" t="s">
        <v>1224</v>
      </c>
    </row>
    <row r="493" spans="1:13" ht="31.8" thickBot="1" x14ac:dyDescent="0.35">
      <c r="A493" s="215"/>
      <c r="B493" s="224">
        <v>44326</v>
      </c>
      <c r="C493" s="226">
        <v>37</v>
      </c>
      <c r="D493" s="226">
        <v>37</v>
      </c>
      <c r="E493" s="226">
        <v>1</v>
      </c>
      <c r="F493" s="225"/>
      <c r="G493" s="215" t="s">
        <v>1222</v>
      </c>
      <c r="H493" s="226">
        <v>37</v>
      </c>
      <c r="I493" s="226">
        <v>37</v>
      </c>
      <c r="J493" s="226">
        <v>17</v>
      </c>
      <c r="K493" s="226">
        <v>0</v>
      </c>
      <c r="L493" s="215" t="s">
        <v>1066</v>
      </c>
      <c r="M493" s="215" t="s">
        <v>1225</v>
      </c>
    </row>
    <row r="494" spans="1:13" ht="16.2" thickBot="1" x14ac:dyDescent="0.35">
      <c r="A494" s="215"/>
      <c r="B494" s="224">
        <v>44328</v>
      </c>
      <c r="C494" s="226">
        <v>11</v>
      </c>
      <c r="D494" s="226">
        <v>11</v>
      </c>
      <c r="E494" s="226">
        <v>1</v>
      </c>
      <c r="F494" s="225"/>
      <c r="G494" s="215" t="s">
        <v>1222</v>
      </c>
      <c r="H494" s="226">
        <v>11</v>
      </c>
      <c r="I494" s="226">
        <v>11</v>
      </c>
      <c r="J494" s="226">
        <v>9</v>
      </c>
      <c r="K494" s="226">
        <v>0</v>
      </c>
      <c r="L494" s="215" t="s">
        <v>1066</v>
      </c>
      <c r="M494" s="215">
        <v>6029003400</v>
      </c>
    </row>
    <row r="495" spans="1:13" ht="31.8" thickBot="1" x14ac:dyDescent="0.35">
      <c r="A495" s="215"/>
      <c r="B495" s="224">
        <v>44330</v>
      </c>
      <c r="C495" s="226">
        <v>56</v>
      </c>
      <c r="D495" s="226">
        <v>56</v>
      </c>
      <c r="E495" s="226">
        <v>1</v>
      </c>
      <c r="F495" s="225"/>
      <c r="G495" s="215" t="s">
        <v>1222</v>
      </c>
      <c r="H495" s="226">
        <v>56</v>
      </c>
      <c r="I495" s="226">
        <v>56</v>
      </c>
      <c r="J495" s="226">
        <v>52</v>
      </c>
      <c r="K495" s="226">
        <v>0</v>
      </c>
      <c r="L495" s="215" t="s">
        <v>1061</v>
      </c>
      <c r="M495" s="215" t="s">
        <v>1226</v>
      </c>
    </row>
    <row r="496" spans="1:13" ht="31.8" thickBot="1" x14ac:dyDescent="0.35">
      <c r="A496" s="215"/>
      <c r="B496" s="224">
        <v>44332</v>
      </c>
      <c r="C496" s="226">
        <v>49</v>
      </c>
      <c r="D496" s="226">
        <v>49</v>
      </c>
      <c r="E496" s="226">
        <v>1</v>
      </c>
      <c r="F496" s="225"/>
      <c r="G496" s="215" t="s">
        <v>1222</v>
      </c>
      <c r="H496" s="226">
        <v>49</v>
      </c>
      <c r="I496" s="226">
        <v>49</v>
      </c>
      <c r="J496" s="226">
        <v>44</v>
      </c>
      <c r="K496" s="226">
        <v>0</v>
      </c>
      <c r="L496" s="215" t="s">
        <v>1061</v>
      </c>
      <c r="M496" s="215" t="s">
        <v>1227</v>
      </c>
    </row>
    <row r="497" spans="1:13" ht="78.599999999999994" thickBot="1" x14ac:dyDescent="0.35">
      <c r="A497" s="215"/>
      <c r="B497" s="224">
        <v>44333</v>
      </c>
      <c r="C497" s="226">
        <v>1828</v>
      </c>
      <c r="D497" s="226">
        <v>1835</v>
      </c>
      <c r="E497" s="226">
        <v>2</v>
      </c>
      <c r="F497" s="225"/>
      <c r="G497" s="215" t="s">
        <v>1222</v>
      </c>
      <c r="H497" s="226">
        <v>3655</v>
      </c>
      <c r="I497" s="226">
        <v>3669</v>
      </c>
      <c r="J497" s="226">
        <v>3365</v>
      </c>
      <c r="K497" s="226">
        <v>1</v>
      </c>
      <c r="L497" s="215" t="s">
        <v>1061</v>
      </c>
      <c r="M497" s="215" t="s">
        <v>1228</v>
      </c>
    </row>
    <row r="498" spans="1:13" ht="31.8" thickBot="1" x14ac:dyDescent="0.35">
      <c r="A498" s="215"/>
      <c r="B498" s="224">
        <v>44335</v>
      </c>
      <c r="C498" s="226">
        <v>10</v>
      </c>
      <c r="D498" s="226">
        <v>10</v>
      </c>
      <c r="E498" s="226">
        <v>1</v>
      </c>
      <c r="F498" s="225"/>
      <c r="G498" s="215" t="s">
        <v>1222</v>
      </c>
      <c r="H498" s="226">
        <v>10</v>
      </c>
      <c r="I498" s="226">
        <v>10</v>
      </c>
      <c r="J498" s="226">
        <v>4</v>
      </c>
      <c r="K498" s="226">
        <v>1</v>
      </c>
      <c r="L498" s="215" t="s">
        <v>1061</v>
      </c>
      <c r="M498" s="215" t="s">
        <v>1229</v>
      </c>
    </row>
    <row r="499" spans="1:13" ht="31.8" thickBot="1" x14ac:dyDescent="0.35">
      <c r="A499" s="215"/>
      <c r="B499" s="224">
        <v>44336</v>
      </c>
      <c r="C499" s="226">
        <v>43</v>
      </c>
      <c r="D499" s="226">
        <v>43</v>
      </c>
      <c r="E499" s="226">
        <v>1</v>
      </c>
      <c r="F499" s="225"/>
      <c r="G499" s="215" t="s">
        <v>1222</v>
      </c>
      <c r="H499" s="226">
        <v>43</v>
      </c>
      <c r="I499" s="226">
        <v>43</v>
      </c>
      <c r="J499" s="226">
        <v>38</v>
      </c>
      <c r="K499" s="226">
        <v>0</v>
      </c>
      <c r="L499" s="215" t="s">
        <v>1061</v>
      </c>
      <c r="M499" s="215" t="s">
        <v>1230</v>
      </c>
    </row>
    <row r="500" spans="1:13" ht="63" thickBot="1" x14ac:dyDescent="0.35">
      <c r="A500" s="215"/>
      <c r="B500" s="224">
        <v>44337</v>
      </c>
      <c r="C500" s="226">
        <v>2127</v>
      </c>
      <c r="D500" s="226">
        <v>2128</v>
      </c>
      <c r="E500" s="226">
        <v>2</v>
      </c>
      <c r="F500" s="225"/>
      <c r="G500" s="215" t="s">
        <v>1222</v>
      </c>
      <c r="H500" s="226">
        <v>4253</v>
      </c>
      <c r="I500" s="226">
        <v>4255</v>
      </c>
      <c r="J500" s="226">
        <v>3868</v>
      </c>
      <c r="K500" s="226">
        <v>1</v>
      </c>
      <c r="L500" s="215" t="s">
        <v>1061</v>
      </c>
      <c r="M500" s="215" t="s">
        <v>1231</v>
      </c>
    </row>
    <row r="501" spans="1:13" ht="16.2" thickBot="1" x14ac:dyDescent="0.35">
      <c r="A501" s="215"/>
      <c r="B501" s="224">
        <v>44338</v>
      </c>
      <c r="C501" s="226">
        <v>86</v>
      </c>
      <c r="D501" s="226">
        <v>86</v>
      </c>
      <c r="E501" s="226">
        <v>1</v>
      </c>
      <c r="F501" s="225"/>
      <c r="G501" s="215" t="s">
        <v>1222</v>
      </c>
      <c r="H501" s="226">
        <v>86</v>
      </c>
      <c r="I501" s="226">
        <v>86</v>
      </c>
      <c r="J501" s="226">
        <v>66</v>
      </c>
      <c r="K501" s="226">
        <v>0</v>
      </c>
      <c r="L501" s="215" t="s">
        <v>1121</v>
      </c>
      <c r="M501" s="215">
        <v>6079010302</v>
      </c>
    </row>
    <row r="502" spans="1:13" ht="16.2" thickBot="1" x14ac:dyDescent="0.35">
      <c r="A502" s="215"/>
      <c r="B502" s="224">
        <v>44339</v>
      </c>
      <c r="C502" s="226">
        <v>73</v>
      </c>
      <c r="D502" s="226">
        <v>73</v>
      </c>
      <c r="E502" s="226">
        <v>1</v>
      </c>
      <c r="F502" s="225"/>
      <c r="G502" s="215" t="s">
        <v>1222</v>
      </c>
      <c r="H502" s="226">
        <v>73</v>
      </c>
      <c r="I502" s="226">
        <v>73</v>
      </c>
      <c r="J502" s="226">
        <v>54</v>
      </c>
      <c r="K502" s="226">
        <v>0</v>
      </c>
      <c r="L502" s="215" t="s">
        <v>1065</v>
      </c>
      <c r="M502" s="215">
        <v>6107004500</v>
      </c>
    </row>
    <row r="503" spans="1:13" ht="16.2" thickBot="1" x14ac:dyDescent="0.35">
      <c r="A503" s="215"/>
      <c r="B503" s="224">
        <v>44340</v>
      </c>
      <c r="C503" s="226">
        <v>42</v>
      </c>
      <c r="D503" s="226">
        <v>42</v>
      </c>
      <c r="E503" s="226">
        <v>1</v>
      </c>
      <c r="F503" s="225"/>
      <c r="G503" s="215" t="s">
        <v>1222</v>
      </c>
      <c r="H503" s="226">
        <v>42</v>
      </c>
      <c r="I503" s="226">
        <v>42</v>
      </c>
      <c r="J503" s="226">
        <v>38</v>
      </c>
      <c r="K503" s="226">
        <v>0</v>
      </c>
      <c r="L503" s="215" t="s">
        <v>1065</v>
      </c>
      <c r="M503" s="215">
        <v>6107004500</v>
      </c>
    </row>
    <row r="504" spans="1:13" ht="47.4" thickBot="1" x14ac:dyDescent="0.35">
      <c r="A504" s="215"/>
      <c r="B504" s="224">
        <v>44341</v>
      </c>
      <c r="C504" s="226">
        <v>352</v>
      </c>
      <c r="D504" s="226">
        <v>360</v>
      </c>
      <c r="E504" s="226">
        <v>2</v>
      </c>
      <c r="F504" s="225"/>
      <c r="G504" s="215" t="s">
        <v>1222</v>
      </c>
      <c r="H504" s="226">
        <v>704</v>
      </c>
      <c r="I504" s="226">
        <v>719</v>
      </c>
      <c r="J504" s="226">
        <v>622</v>
      </c>
      <c r="K504" s="226">
        <v>1</v>
      </c>
      <c r="L504" s="215" t="s">
        <v>1065</v>
      </c>
      <c r="M504" s="215" t="s">
        <v>1232</v>
      </c>
    </row>
    <row r="505" spans="1:13" ht="16.2" thickBot="1" x14ac:dyDescent="0.35">
      <c r="A505" s="215"/>
      <c r="B505" s="224">
        <v>44342</v>
      </c>
      <c r="C505" s="226">
        <v>262</v>
      </c>
      <c r="D505" s="226">
        <v>264</v>
      </c>
      <c r="E505" s="226">
        <v>1</v>
      </c>
      <c r="F505" s="225"/>
      <c r="G505" s="215" t="s">
        <v>1222</v>
      </c>
      <c r="H505" s="226">
        <v>262</v>
      </c>
      <c r="I505" s="226">
        <v>264</v>
      </c>
      <c r="J505" s="226">
        <v>191</v>
      </c>
      <c r="K505" s="226">
        <v>0</v>
      </c>
      <c r="L505" s="215" t="s">
        <v>1065</v>
      </c>
      <c r="M505" s="215">
        <v>6107004200</v>
      </c>
    </row>
    <row r="506" spans="1:13" ht="16.2" thickBot="1" x14ac:dyDescent="0.35">
      <c r="A506" s="215"/>
      <c r="B506" s="224">
        <v>44343</v>
      </c>
      <c r="C506" s="226">
        <v>713</v>
      </c>
      <c r="D506" s="226">
        <v>749</v>
      </c>
      <c r="E506" s="226">
        <v>1</v>
      </c>
      <c r="F506" s="225"/>
      <c r="G506" s="215" t="s">
        <v>1222</v>
      </c>
      <c r="H506" s="226">
        <v>713</v>
      </c>
      <c r="I506" s="226">
        <v>749</v>
      </c>
      <c r="J506" s="226">
        <v>677</v>
      </c>
      <c r="K506" s="226">
        <v>0</v>
      </c>
      <c r="L506" s="215" t="s">
        <v>1065</v>
      </c>
      <c r="M506" s="215">
        <v>6107003201</v>
      </c>
    </row>
    <row r="507" spans="1:13" ht="16.2" thickBot="1" x14ac:dyDescent="0.35">
      <c r="A507" s="215"/>
      <c r="B507" s="224">
        <v>44345</v>
      </c>
      <c r="C507" s="226">
        <v>19</v>
      </c>
      <c r="D507" s="226">
        <v>21</v>
      </c>
      <c r="E507" s="226">
        <v>1</v>
      </c>
      <c r="F507" s="225"/>
      <c r="G507" s="215" t="s">
        <v>1222</v>
      </c>
      <c r="H507" s="226">
        <v>19</v>
      </c>
      <c r="I507" s="226">
        <v>21</v>
      </c>
      <c r="J507" s="226">
        <v>14</v>
      </c>
      <c r="K507" s="226">
        <v>0</v>
      </c>
      <c r="L507" s="215" t="s">
        <v>1065</v>
      </c>
      <c r="M507" s="215">
        <v>6107003201</v>
      </c>
    </row>
    <row r="508" spans="1:13" ht="16.2" thickBot="1" x14ac:dyDescent="0.35">
      <c r="A508" s="215"/>
      <c r="B508" s="224">
        <v>44346</v>
      </c>
      <c r="C508" s="226">
        <v>175</v>
      </c>
      <c r="D508" s="226">
        <v>196</v>
      </c>
      <c r="E508" s="226">
        <v>1</v>
      </c>
      <c r="F508" s="225"/>
      <c r="G508" s="215" t="s">
        <v>1222</v>
      </c>
      <c r="H508" s="226">
        <v>175</v>
      </c>
      <c r="I508" s="226">
        <v>196</v>
      </c>
      <c r="J508" s="226">
        <v>174</v>
      </c>
      <c r="K508" s="226">
        <v>1</v>
      </c>
      <c r="L508" s="215" t="s">
        <v>1065</v>
      </c>
      <c r="M508" s="215">
        <v>6107000302</v>
      </c>
    </row>
    <row r="509" spans="1:13" ht="187.8" thickBot="1" x14ac:dyDescent="0.35">
      <c r="A509" s="215"/>
      <c r="B509" s="224">
        <v>44347</v>
      </c>
      <c r="C509" s="226">
        <v>1635</v>
      </c>
      <c r="D509" s="226">
        <v>1678</v>
      </c>
      <c r="E509" s="226">
        <v>7</v>
      </c>
      <c r="F509" s="225" t="s">
        <v>1233</v>
      </c>
      <c r="G509" s="215" t="s">
        <v>1222</v>
      </c>
      <c r="H509" s="226">
        <v>11443</v>
      </c>
      <c r="I509" s="226">
        <v>11743</v>
      </c>
      <c r="J509" s="226">
        <v>11128</v>
      </c>
      <c r="K509" s="226">
        <v>2</v>
      </c>
      <c r="L509" s="215" t="s">
        <v>1065</v>
      </c>
      <c r="M509" s="215" t="s">
        <v>1234</v>
      </c>
    </row>
    <row r="510" spans="1:13" ht="16.2" thickBot="1" x14ac:dyDescent="0.35">
      <c r="A510" s="215"/>
      <c r="B510" s="224">
        <v>44350</v>
      </c>
      <c r="C510" s="226">
        <v>4</v>
      </c>
      <c r="D510" s="226">
        <v>4</v>
      </c>
      <c r="E510" s="226">
        <v>1</v>
      </c>
      <c r="F510" s="225"/>
      <c r="G510" s="215" t="s">
        <v>1222</v>
      </c>
      <c r="H510" s="226">
        <v>4</v>
      </c>
      <c r="I510" s="226">
        <v>4</v>
      </c>
      <c r="J510" s="226">
        <v>3</v>
      </c>
      <c r="K510" s="226">
        <v>0</v>
      </c>
      <c r="L510" s="215" t="s">
        <v>1065</v>
      </c>
      <c r="M510" s="215">
        <v>6107003100</v>
      </c>
    </row>
    <row r="511" spans="1:13" ht="31.8" thickBot="1" x14ac:dyDescent="0.35">
      <c r="A511" s="215"/>
      <c r="B511" s="224">
        <v>44351</v>
      </c>
      <c r="C511" s="226">
        <v>107</v>
      </c>
      <c r="D511" s="226">
        <v>107</v>
      </c>
      <c r="E511" s="226">
        <v>1</v>
      </c>
      <c r="F511" s="225"/>
      <c r="G511" s="215" t="s">
        <v>1222</v>
      </c>
      <c r="H511" s="226">
        <v>107</v>
      </c>
      <c r="I511" s="226">
        <v>107</v>
      </c>
      <c r="J511" s="226">
        <v>85</v>
      </c>
      <c r="K511" s="226">
        <v>0</v>
      </c>
      <c r="L511" s="215" t="s">
        <v>1065</v>
      </c>
      <c r="M511" s="215" t="s">
        <v>1235</v>
      </c>
    </row>
    <row r="512" spans="1:13" ht="16.2" thickBot="1" x14ac:dyDescent="0.35">
      <c r="A512" s="215"/>
      <c r="B512" s="224">
        <v>44352</v>
      </c>
      <c r="C512" s="226">
        <v>187</v>
      </c>
      <c r="D512" s="226">
        <v>187</v>
      </c>
      <c r="E512" s="226">
        <v>1</v>
      </c>
      <c r="F512" s="225"/>
      <c r="G512" s="215" t="s">
        <v>1222</v>
      </c>
      <c r="H512" s="226">
        <v>187</v>
      </c>
      <c r="I512" s="226">
        <v>187</v>
      </c>
      <c r="J512" s="226">
        <v>162</v>
      </c>
      <c r="K512" s="226">
        <v>0</v>
      </c>
      <c r="L512" s="215" t="s">
        <v>1065</v>
      </c>
      <c r="M512" s="215">
        <v>6107003100</v>
      </c>
    </row>
    <row r="513" spans="1:13" ht="172.2" thickBot="1" x14ac:dyDescent="0.35">
      <c r="A513" s="215"/>
      <c r="B513" s="224">
        <v>44353</v>
      </c>
      <c r="C513" s="226">
        <v>2139</v>
      </c>
      <c r="D513" s="226">
        <v>2155</v>
      </c>
      <c r="E513" s="226">
        <v>6</v>
      </c>
      <c r="F513" s="225"/>
      <c r="G513" s="215" t="s">
        <v>1222</v>
      </c>
      <c r="H513" s="226">
        <v>12835</v>
      </c>
      <c r="I513" s="226">
        <v>12929</v>
      </c>
      <c r="J513" s="226">
        <v>11736</v>
      </c>
      <c r="K513" s="226">
        <v>1</v>
      </c>
      <c r="L513" s="215" t="s">
        <v>1065</v>
      </c>
      <c r="M513" s="215" t="s">
        <v>1236</v>
      </c>
    </row>
    <row r="514" spans="1:13" ht="16.2" thickBot="1" x14ac:dyDescent="0.35">
      <c r="A514" s="215"/>
      <c r="B514" s="224">
        <v>44354</v>
      </c>
      <c r="C514" s="226">
        <v>46</v>
      </c>
      <c r="D514" s="226">
        <v>46</v>
      </c>
      <c r="E514" s="226">
        <v>2</v>
      </c>
      <c r="F514" s="225"/>
      <c r="G514" s="215" t="s">
        <v>1222</v>
      </c>
      <c r="H514" s="226">
        <v>92</v>
      </c>
      <c r="I514" s="226">
        <v>92</v>
      </c>
      <c r="J514" s="226">
        <v>68</v>
      </c>
      <c r="K514" s="226">
        <v>1</v>
      </c>
      <c r="L514" s="215" t="s">
        <v>1066</v>
      </c>
      <c r="M514" s="215">
        <v>6029003304</v>
      </c>
    </row>
    <row r="515" spans="1:13" ht="16.2" thickBot="1" x14ac:dyDescent="0.35">
      <c r="A515" s="215"/>
      <c r="B515" s="224">
        <v>44355</v>
      </c>
      <c r="C515" s="226">
        <v>43</v>
      </c>
      <c r="D515" s="226">
        <v>43</v>
      </c>
      <c r="E515" s="226">
        <v>1</v>
      </c>
      <c r="F515" s="225"/>
      <c r="G515" s="215" t="s">
        <v>1222</v>
      </c>
      <c r="H515" s="226">
        <v>43</v>
      </c>
      <c r="I515" s="226">
        <v>43</v>
      </c>
      <c r="J515" s="226">
        <v>43</v>
      </c>
      <c r="K515" s="226">
        <v>0</v>
      </c>
      <c r="L515" s="215" t="s">
        <v>1066</v>
      </c>
      <c r="M515" s="215">
        <v>6029003304</v>
      </c>
    </row>
    <row r="516" spans="1:13" ht="16.2" thickBot="1" x14ac:dyDescent="0.35">
      <c r="A516" s="215"/>
      <c r="B516" s="224">
        <v>44356</v>
      </c>
      <c r="C516" s="226">
        <v>467</v>
      </c>
      <c r="D516" s="226">
        <v>467</v>
      </c>
      <c r="E516" s="226">
        <v>1</v>
      </c>
      <c r="F516" s="225"/>
      <c r="G516" s="215" t="s">
        <v>1222</v>
      </c>
      <c r="H516" s="226">
        <v>467</v>
      </c>
      <c r="I516" s="226">
        <v>467</v>
      </c>
      <c r="J516" s="226">
        <v>398</v>
      </c>
      <c r="K516" s="226">
        <v>0</v>
      </c>
      <c r="L516" s="215" t="s">
        <v>1066</v>
      </c>
      <c r="M516" s="215">
        <v>6029003304</v>
      </c>
    </row>
    <row r="517" spans="1:13" ht="16.2" thickBot="1" x14ac:dyDescent="0.35">
      <c r="A517" s="215"/>
      <c r="B517" s="224">
        <v>44357</v>
      </c>
      <c r="C517" s="226">
        <v>47</v>
      </c>
      <c r="D517" s="226">
        <v>48</v>
      </c>
      <c r="E517" s="226">
        <v>1</v>
      </c>
      <c r="F517" s="225"/>
      <c r="G517" s="215" t="s">
        <v>1222</v>
      </c>
      <c r="H517" s="226">
        <v>47</v>
      </c>
      <c r="I517" s="226">
        <v>48</v>
      </c>
      <c r="J517" s="226">
        <v>40</v>
      </c>
      <c r="K517" s="226">
        <v>0</v>
      </c>
      <c r="L517" s="215" t="s">
        <v>1065</v>
      </c>
      <c r="M517" s="215">
        <v>6107001304</v>
      </c>
    </row>
    <row r="518" spans="1:13" ht="78.599999999999994" thickBot="1" x14ac:dyDescent="0.35">
      <c r="A518" s="215"/>
      <c r="B518" s="224">
        <v>44360</v>
      </c>
      <c r="C518" s="226">
        <v>905</v>
      </c>
      <c r="D518" s="226">
        <v>916</v>
      </c>
      <c r="E518" s="226">
        <v>2</v>
      </c>
      <c r="F518" s="225"/>
      <c r="G518" s="215" t="s">
        <v>1222</v>
      </c>
      <c r="H518" s="226">
        <v>1809</v>
      </c>
      <c r="I518" s="226">
        <v>1832</v>
      </c>
      <c r="J518" s="226">
        <v>1444</v>
      </c>
      <c r="K518" s="226">
        <v>1</v>
      </c>
      <c r="L518" s="215" t="s">
        <v>1065</v>
      </c>
      <c r="M518" s="215" t="s">
        <v>1237</v>
      </c>
    </row>
    <row r="519" spans="1:13" ht="16.2" thickBot="1" x14ac:dyDescent="0.35">
      <c r="A519" s="215"/>
      <c r="B519" s="224">
        <v>44361</v>
      </c>
      <c r="C519" s="226">
        <v>61</v>
      </c>
      <c r="D519" s="226">
        <v>61</v>
      </c>
      <c r="E519" s="226">
        <v>1</v>
      </c>
      <c r="F519" s="225"/>
      <c r="G519" s="215" t="s">
        <v>1222</v>
      </c>
      <c r="H519" s="226">
        <v>61</v>
      </c>
      <c r="I519" s="226">
        <v>61</v>
      </c>
      <c r="J519" s="226">
        <v>60</v>
      </c>
      <c r="K519" s="226">
        <v>0</v>
      </c>
      <c r="L519" s="215" t="s">
        <v>1065</v>
      </c>
      <c r="M519" s="215">
        <v>6107002401</v>
      </c>
    </row>
    <row r="520" spans="1:13" ht="16.2" thickBot="1" x14ac:dyDescent="0.35">
      <c r="A520" s="215"/>
      <c r="B520" s="224">
        <v>44362</v>
      </c>
      <c r="C520" s="226">
        <v>272</v>
      </c>
      <c r="D520" s="226">
        <v>272</v>
      </c>
      <c r="E520" s="226">
        <v>1</v>
      </c>
      <c r="F520" s="225"/>
      <c r="G520" s="215" t="s">
        <v>1222</v>
      </c>
      <c r="H520" s="226">
        <v>272</v>
      </c>
      <c r="I520" s="226">
        <v>272</v>
      </c>
      <c r="J520" s="226">
        <v>269</v>
      </c>
      <c r="K520" s="226">
        <v>0</v>
      </c>
      <c r="L520" s="215" t="s">
        <v>1065</v>
      </c>
      <c r="M520" s="215">
        <v>6107001304</v>
      </c>
    </row>
    <row r="521" spans="1:13" ht="47.4" thickBot="1" x14ac:dyDescent="0.35">
      <c r="A521" s="215"/>
      <c r="B521" s="224">
        <v>44363</v>
      </c>
      <c r="C521" s="226">
        <v>149</v>
      </c>
      <c r="D521" s="226">
        <v>153</v>
      </c>
      <c r="E521" s="226">
        <v>1</v>
      </c>
      <c r="F521" s="225"/>
      <c r="G521" s="215" t="s">
        <v>1222</v>
      </c>
      <c r="H521" s="226">
        <v>149</v>
      </c>
      <c r="I521" s="226">
        <v>153</v>
      </c>
      <c r="J521" s="226">
        <v>119</v>
      </c>
      <c r="K521" s="226">
        <v>0</v>
      </c>
      <c r="L521" s="215" t="s">
        <v>1065</v>
      </c>
      <c r="M521" s="215" t="s">
        <v>1238</v>
      </c>
    </row>
    <row r="522" spans="1:13" ht="16.2" thickBot="1" x14ac:dyDescent="0.35">
      <c r="A522" s="215"/>
      <c r="B522" s="224">
        <v>44364</v>
      </c>
      <c r="C522" s="226">
        <v>4</v>
      </c>
      <c r="D522" s="226">
        <v>4</v>
      </c>
      <c r="E522" s="226">
        <v>1</v>
      </c>
      <c r="F522" s="225"/>
      <c r="G522" s="215" t="s">
        <v>1222</v>
      </c>
      <c r="H522" s="226">
        <v>4</v>
      </c>
      <c r="I522" s="226">
        <v>4</v>
      </c>
      <c r="J522" s="226">
        <v>3</v>
      </c>
      <c r="K522" s="226">
        <v>0</v>
      </c>
      <c r="L522" s="215" t="s">
        <v>1065</v>
      </c>
      <c r="M522" s="215">
        <v>6107001706</v>
      </c>
    </row>
    <row r="523" spans="1:13" ht="31.8" thickBot="1" x14ac:dyDescent="0.35">
      <c r="A523" s="215"/>
      <c r="B523" s="224">
        <v>44365</v>
      </c>
      <c r="C523" s="226">
        <v>749</v>
      </c>
      <c r="D523" s="226">
        <v>763</v>
      </c>
      <c r="E523" s="226">
        <v>1</v>
      </c>
      <c r="F523" s="225"/>
      <c r="G523" s="215" t="s">
        <v>1222</v>
      </c>
      <c r="H523" s="226">
        <v>749</v>
      </c>
      <c r="I523" s="226">
        <v>763</v>
      </c>
      <c r="J523" s="226">
        <v>677</v>
      </c>
      <c r="K523" s="226">
        <v>0</v>
      </c>
      <c r="L523" s="215" t="s">
        <v>1065</v>
      </c>
      <c r="M523" s="215" t="s">
        <v>1239</v>
      </c>
    </row>
    <row r="524" spans="1:13" ht="16.2" thickBot="1" x14ac:dyDescent="0.35">
      <c r="A524" s="215"/>
      <c r="B524" s="224">
        <v>44367</v>
      </c>
      <c r="C524" s="226">
        <v>10</v>
      </c>
      <c r="D524" s="226">
        <v>13</v>
      </c>
      <c r="E524" s="226">
        <v>1</v>
      </c>
      <c r="F524" s="225"/>
      <c r="G524" s="215" t="s">
        <v>1222</v>
      </c>
      <c r="H524" s="226">
        <v>10</v>
      </c>
      <c r="I524" s="226">
        <v>13</v>
      </c>
      <c r="J524" s="226">
        <v>10</v>
      </c>
      <c r="K524" s="226">
        <v>0</v>
      </c>
      <c r="L524" s="215" t="s">
        <v>1065</v>
      </c>
      <c r="M524" s="215">
        <v>6107001703</v>
      </c>
    </row>
    <row r="525" spans="1:13" ht="31.8" thickBot="1" x14ac:dyDescent="0.35">
      <c r="A525" s="215"/>
      <c r="B525" s="224">
        <v>44368</v>
      </c>
      <c r="C525" s="226">
        <v>147</v>
      </c>
      <c r="D525" s="226">
        <v>148</v>
      </c>
      <c r="E525" s="226">
        <v>1</v>
      </c>
      <c r="F525" s="225"/>
      <c r="G525" s="215" t="s">
        <v>1222</v>
      </c>
      <c r="H525" s="226">
        <v>147</v>
      </c>
      <c r="I525" s="226">
        <v>148</v>
      </c>
      <c r="J525" s="226">
        <v>126</v>
      </c>
      <c r="K525" s="226">
        <v>0</v>
      </c>
      <c r="L525" s="215" t="s">
        <v>1065</v>
      </c>
      <c r="M525" s="215" t="s">
        <v>1240</v>
      </c>
    </row>
    <row r="526" spans="1:13" ht="16.2" thickBot="1" x14ac:dyDescent="0.35">
      <c r="A526" s="215"/>
      <c r="B526" s="224">
        <v>44369</v>
      </c>
      <c r="C526" s="226">
        <v>9</v>
      </c>
      <c r="D526" s="226">
        <v>9</v>
      </c>
      <c r="E526" s="226">
        <v>1</v>
      </c>
      <c r="F526" s="225"/>
      <c r="G526" s="215" t="s">
        <v>1222</v>
      </c>
      <c r="H526" s="226">
        <v>9</v>
      </c>
      <c r="I526" s="226">
        <v>9</v>
      </c>
      <c r="J526" s="226">
        <v>6</v>
      </c>
      <c r="K526" s="226">
        <v>0</v>
      </c>
      <c r="L526" s="215" t="s">
        <v>1065</v>
      </c>
      <c r="M526" s="215">
        <v>6107002006</v>
      </c>
    </row>
    <row r="527" spans="1:13" ht="16.2" thickBot="1" x14ac:dyDescent="0.35">
      <c r="A527" s="215"/>
      <c r="B527" s="224">
        <v>44370</v>
      </c>
      <c r="C527" s="226">
        <v>40</v>
      </c>
      <c r="D527" s="226">
        <v>40</v>
      </c>
      <c r="E527" s="226">
        <v>1</v>
      </c>
      <c r="F527" s="225"/>
      <c r="G527" s="215" t="s">
        <v>1222</v>
      </c>
      <c r="H527" s="226">
        <v>40</v>
      </c>
      <c r="I527" s="226">
        <v>40</v>
      </c>
      <c r="J527" s="226">
        <v>36</v>
      </c>
      <c r="K527" s="226">
        <v>0</v>
      </c>
      <c r="L527" s="215" t="s">
        <v>1065</v>
      </c>
      <c r="M527" s="215">
        <v>6107000802</v>
      </c>
    </row>
    <row r="528" spans="1:13" ht="109.8" thickBot="1" x14ac:dyDescent="0.35">
      <c r="A528" s="215"/>
      <c r="B528" s="224">
        <v>44371</v>
      </c>
      <c r="C528" s="226">
        <v>2280</v>
      </c>
      <c r="D528" s="226">
        <v>2336</v>
      </c>
      <c r="E528" s="226">
        <v>3</v>
      </c>
      <c r="F528" s="225"/>
      <c r="G528" s="215" t="s">
        <v>1222</v>
      </c>
      <c r="H528" s="226">
        <v>6839</v>
      </c>
      <c r="I528" s="226">
        <v>7007</v>
      </c>
      <c r="J528" s="226">
        <v>6464</v>
      </c>
      <c r="K528" s="226">
        <v>3</v>
      </c>
      <c r="L528" s="215" t="s">
        <v>1066</v>
      </c>
      <c r="M528" s="215" t="s">
        <v>1241</v>
      </c>
    </row>
    <row r="529" spans="1:13" ht="16.2" thickBot="1" x14ac:dyDescent="0.35">
      <c r="A529" s="215"/>
      <c r="B529" s="224">
        <v>44372</v>
      </c>
      <c r="C529" s="226">
        <v>2</v>
      </c>
      <c r="D529" s="226">
        <v>2</v>
      </c>
      <c r="E529" s="226">
        <v>1</v>
      </c>
      <c r="F529" s="225"/>
      <c r="G529" s="215" t="s">
        <v>1222</v>
      </c>
      <c r="H529" s="226">
        <v>2</v>
      </c>
      <c r="I529" s="226">
        <v>2</v>
      </c>
      <c r="J529" s="226">
        <v>2</v>
      </c>
      <c r="K529" s="226">
        <v>0</v>
      </c>
      <c r="L529" s="215" t="s">
        <v>1066</v>
      </c>
      <c r="M529" s="215">
        <v>6029004605</v>
      </c>
    </row>
    <row r="530" spans="1:13" ht="47.4" thickBot="1" x14ac:dyDescent="0.35">
      <c r="A530" s="215"/>
      <c r="B530" s="224">
        <v>44374</v>
      </c>
      <c r="C530" s="226">
        <v>23</v>
      </c>
      <c r="D530" s="226">
        <v>28</v>
      </c>
      <c r="E530" s="226">
        <v>1</v>
      </c>
      <c r="F530" s="225"/>
      <c r="G530" s="215" t="s">
        <v>1222</v>
      </c>
      <c r="H530" s="226">
        <v>23</v>
      </c>
      <c r="I530" s="226">
        <v>28</v>
      </c>
      <c r="J530" s="226">
        <v>11</v>
      </c>
      <c r="K530" s="226">
        <v>0</v>
      </c>
      <c r="L530" s="215" t="s">
        <v>1066</v>
      </c>
      <c r="M530" s="215" t="s">
        <v>1242</v>
      </c>
    </row>
    <row r="531" spans="1:13" ht="16.2" thickBot="1" x14ac:dyDescent="0.35">
      <c r="A531" s="215"/>
      <c r="B531" s="224">
        <v>44375</v>
      </c>
      <c r="C531" s="226">
        <v>38</v>
      </c>
      <c r="D531" s="226">
        <v>38</v>
      </c>
      <c r="E531" s="226">
        <v>1</v>
      </c>
      <c r="F531" s="225"/>
      <c r="G531" s="215" t="s">
        <v>1222</v>
      </c>
      <c r="H531" s="226">
        <v>38</v>
      </c>
      <c r="I531" s="226">
        <v>38</v>
      </c>
      <c r="J531" s="226">
        <v>15</v>
      </c>
      <c r="K531" s="226">
        <v>1</v>
      </c>
      <c r="L531" s="215" t="s">
        <v>1066</v>
      </c>
      <c r="M531" s="215">
        <v>6029006011</v>
      </c>
    </row>
    <row r="532" spans="1:13" ht="47.4" thickBot="1" x14ac:dyDescent="0.35">
      <c r="A532" s="215"/>
      <c r="B532" s="224">
        <v>44376</v>
      </c>
      <c r="C532" s="226">
        <v>2437</v>
      </c>
      <c r="D532" s="226">
        <v>2489</v>
      </c>
      <c r="E532" s="226">
        <v>1</v>
      </c>
      <c r="F532" s="225"/>
      <c r="G532" s="215" t="s">
        <v>1222</v>
      </c>
      <c r="H532" s="226">
        <v>2437</v>
      </c>
      <c r="I532" s="226">
        <v>2489</v>
      </c>
      <c r="J532" s="226">
        <v>2293</v>
      </c>
      <c r="K532" s="226">
        <v>0</v>
      </c>
      <c r="L532" s="215" t="s">
        <v>1065</v>
      </c>
      <c r="M532" s="215" t="s">
        <v>1243</v>
      </c>
    </row>
    <row r="533" spans="1:13" ht="16.2" thickBot="1" x14ac:dyDescent="0.35">
      <c r="A533" s="215"/>
      <c r="B533" s="224">
        <v>44377</v>
      </c>
      <c r="C533" s="226">
        <v>440</v>
      </c>
      <c r="D533" s="226">
        <v>446</v>
      </c>
      <c r="E533" s="226">
        <v>1</v>
      </c>
      <c r="F533" s="225"/>
      <c r="G533" s="215" t="s">
        <v>1222</v>
      </c>
      <c r="H533" s="226">
        <v>440</v>
      </c>
      <c r="I533" s="226">
        <v>446</v>
      </c>
      <c r="J533" s="226">
        <v>392</v>
      </c>
      <c r="K533" s="226">
        <v>0</v>
      </c>
      <c r="L533" s="215" t="s">
        <v>1065</v>
      </c>
      <c r="M533" s="215">
        <v>6107003202</v>
      </c>
    </row>
    <row r="534" spans="1:13" ht="16.2" thickBot="1" x14ac:dyDescent="0.35">
      <c r="A534" s="215"/>
      <c r="B534" s="224">
        <v>44378</v>
      </c>
      <c r="C534" s="226">
        <v>73</v>
      </c>
      <c r="D534" s="226">
        <v>77</v>
      </c>
      <c r="E534" s="226">
        <v>1</v>
      </c>
      <c r="F534" s="225"/>
      <c r="G534" s="215" t="s">
        <v>1222</v>
      </c>
      <c r="H534" s="226">
        <v>73</v>
      </c>
      <c r="I534" s="226">
        <v>77</v>
      </c>
      <c r="J534" s="226">
        <v>68</v>
      </c>
      <c r="K534" s="226">
        <v>0</v>
      </c>
      <c r="L534" s="215" t="s">
        <v>1065</v>
      </c>
      <c r="M534" s="215">
        <v>6107000600</v>
      </c>
    </row>
    <row r="535" spans="1:13" ht="409.6" thickBot="1" x14ac:dyDescent="0.35">
      <c r="A535" s="215"/>
      <c r="B535" s="224">
        <v>44379</v>
      </c>
      <c r="C535" s="226">
        <v>5322</v>
      </c>
      <c r="D535" s="226">
        <v>5398</v>
      </c>
      <c r="E535" s="226">
        <v>6</v>
      </c>
      <c r="F535" s="225" t="s">
        <v>1244</v>
      </c>
      <c r="G535" s="215" t="s">
        <v>1222</v>
      </c>
      <c r="H535" s="226">
        <v>31933</v>
      </c>
      <c r="I535" s="226">
        <v>32390</v>
      </c>
      <c r="J535" s="226">
        <v>29646</v>
      </c>
      <c r="K535" s="226">
        <v>2</v>
      </c>
      <c r="L535" s="215" t="s">
        <v>1061</v>
      </c>
      <c r="M535" s="215" t="s">
        <v>1245</v>
      </c>
    </row>
    <row r="536" spans="1:13" ht="16.2" thickBot="1" x14ac:dyDescent="0.35">
      <c r="A536" s="215"/>
      <c r="B536" s="224">
        <v>44380</v>
      </c>
      <c r="C536" s="226">
        <v>12</v>
      </c>
      <c r="D536" s="226">
        <v>12</v>
      </c>
      <c r="E536" s="226">
        <v>1</v>
      </c>
      <c r="F536" s="225"/>
      <c r="G536" s="215" t="s">
        <v>1222</v>
      </c>
      <c r="H536" s="226">
        <v>12</v>
      </c>
      <c r="I536" s="226">
        <v>12</v>
      </c>
      <c r="J536" s="226">
        <v>11</v>
      </c>
      <c r="K536" s="226">
        <v>0</v>
      </c>
      <c r="L536" s="215" t="s">
        <v>1063</v>
      </c>
      <c r="M536" s="215">
        <v>6037910814</v>
      </c>
    </row>
    <row r="537" spans="1:13" ht="16.2" thickBot="1" x14ac:dyDescent="0.35">
      <c r="A537" s="215"/>
      <c r="B537" s="224">
        <v>44381</v>
      </c>
      <c r="C537" s="226">
        <v>8</v>
      </c>
      <c r="D537" s="226">
        <v>8</v>
      </c>
      <c r="E537" s="226">
        <v>1</v>
      </c>
      <c r="F537" s="225"/>
      <c r="G537" s="215" t="s">
        <v>1222</v>
      </c>
      <c r="H537" s="226">
        <v>8</v>
      </c>
      <c r="I537" s="226">
        <v>8</v>
      </c>
      <c r="J537" s="226">
        <v>7</v>
      </c>
      <c r="K537" s="226">
        <v>0</v>
      </c>
      <c r="L537" s="215" t="s">
        <v>1063</v>
      </c>
      <c r="M537" s="215">
        <v>6037910804</v>
      </c>
    </row>
    <row r="538" spans="1:13" ht="16.2" thickBot="1" x14ac:dyDescent="0.35">
      <c r="A538" s="215"/>
      <c r="B538" s="224">
        <v>44382</v>
      </c>
      <c r="C538" s="226">
        <v>2</v>
      </c>
      <c r="D538" s="226">
        <v>2</v>
      </c>
      <c r="E538" s="226">
        <v>1</v>
      </c>
      <c r="F538" s="225"/>
      <c r="G538" s="215" t="s">
        <v>1222</v>
      </c>
      <c r="H538" s="226">
        <v>2</v>
      </c>
      <c r="I538" s="226">
        <v>2</v>
      </c>
      <c r="J538" s="226">
        <v>2</v>
      </c>
      <c r="K538" s="226">
        <v>0</v>
      </c>
      <c r="L538" s="215" t="s">
        <v>1063</v>
      </c>
      <c r="M538" s="215">
        <v>6037910804</v>
      </c>
    </row>
    <row r="539" spans="1:13" ht="16.2" thickBot="1" x14ac:dyDescent="0.35">
      <c r="A539" s="215"/>
      <c r="B539" s="224">
        <v>44383</v>
      </c>
      <c r="C539" s="226">
        <v>22</v>
      </c>
      <c r="D539" s="226">
        <v>22</v>
      </c>
      <c r="E539" s="226">
        <v>1</v>
      </c>
      <c r="F539" s="225"/>
      <c r="G539" s="215" t="s">
        <v>1222</v>
      </c>
      <c r="H539" s="226">
        <v>22</v>
      </c>
      <c r="I539" s="226">
        <v>22</v>
      </c>
      <c r="J539" s="226">
        <v>15</v>
      </c>
      <c r="K539" s="226">
        <v>0</v>
      </c>
      <c r="L539" s="215" t="s">
        <v>1066</v>
      </c>
      <c r="M539" s="215">
        <v>6029006600</v>
      </c>
    </row>
    <row r="540" spans="1:13" ht="31.8" thickBot="1" x14ac:dyDescent="0.35">
      <c r="A540" s="215"/>
      <c r="B540" s="224">
        <v>44386</v>
      </c>
      <c r="C540" s="226">
        <v>284</v>
      </c>
      <c r="D540" s="226">
        <v>287</v>
      </c>
      <c r="E540" s="226">
        <v>1</v>
      </c>
      <c r="F540" s="225"/>
      <c r="G540" s="215" t="s">
        <v>1222</v>
      </c>
      <c r="H540" s="226">
        <v>284</v>
      </c>
      <c r="I540" s="226">
        <v>287</v>
      </c>
      <c r="J540" s="226">
        <v>258</v>
      </c>
      <c r="K540" s="226">
        <v>1</v>
      </c>
      <c r="L540" s="215" t="s">
        <v>1066</v>
      </c>
      <c r="M540" s="215" t="s">
        <v>1246</v>
      </c>
    </row>
    <row r="541" spans="1:13" ht="16.2" thickBot="1" x14ac:dyDescent="0.35">
      <c r="A541" s="215"/>
      <c r="B541" s="224">
        <v>44388</v>
      </c>
      <c r="C541" s="226">
        <v>1</v>
      </c>
      <c r="D541" s="226">
        <v>10</v>
      </c>
      <c r="E541" s="226">
        <v>1</v>
      </c>
      <c r="F541" s="225"/>
      <c r="G541" s="215" t="s">
        <v>1222</v>
      </c>
      <c r="H541" s="226">
        <v>1</v>
      </c>
      <c r="I541" s="226">
        <v>10</v>
      </c>
      <c r="J541" s="226">
        <v>0</v>
      </c>
      <c r="K541" s="226">
        <v>0</v>
      </c>
      <c r="L541" s="215" t="s">
        <v>1066</v>
      </c>
      <c r="M541" s="215">
        <v>6083001800</v>
      </c>
    </row>
    <row r="542" spans="1:13" ht="31.8" thickBot="1" x14ac:dyDescent="0.35">
      <c r="A542" s="215"/>
      <c r="B542" s="224">
        <v>44390</v>
      </c>
      <c r="C542" s="226">
        <v>9</v>
      </c>
      <c r="D542" s="226">
        <v>9</v>
      </c>
      <c r="E542" s="226">
        <v>1</v>
      </c>
      <c r="F542" s="225"/>
      <c r="G542" s="215" t="s">
        <v>1222</v>
      </c>
      <c r="H542" s="226">
        <v>9</v>
      </c>
      <c r="I542" s="226">
        <v>9</v>
      </c>
      <c r="J542" s="226">
        <v>5</v>
      </c>
      <c r="K542" s="226">
        <v>0</v>
      </c>
      <c r="L542" s="215" t="s">
        <v>1066</v>
      </c>
      <c r="M542" s="215" t="s">
        <v>1247</v>
      </c>
    </row>
    <row r="543" spans="1:13" ht="16.2" thickBot="1" x14ac:dyDescent="0.35">
      <c r="A543" s="215"/>
      <c r="B543" s="224">
        <v>44391</v>
      </c>
      <c r="C543" s="226">
        <v>367</v>
      </c>
      <c r="D543" s="226">
        <v>369</v>
      </c>
      <c r="E543" s="226">
        <v>1</v>
      </c>
      <c r="F543" s="225"/>
      <c r="G543" s="215" t="s">
        <v>1222</v>
      </c>
      <c r="H543" s="226">
        <v>367</v>
      </c>
      <c r="I543" s="226">
        <v>369</v>
      </c>
      <c r="J543" s="226">
        <v>334</v>
      </c>
      <c r="K543" s="226">
        <v>0</v>
      </c>
      <c r="L543" s="215" t="s">
        <v>1121</v>
      </c>
      <c r="M543" s="215">
        <v>6079010016</v>
      </c>
    </row>
    <row r="544" spans="1:13" ht="16.2" thickBot="1" x14ac:dyDescent="0.35">
      <c r="A544" s="215"/>
      <c r="B544" s="224">
        <v>44392</v>
      </c>
      <c r="C544" s="226">
        <v>148</v>
      </c>
      <c r="D544" s="226">
        <v>148</v>
      </c>
      <c r="E544" s="226">
        <v>1</v>
      </c>
      <c r="F544" s="225"/>
      <c r="G544" s="215" t="s">
        <v>1222</v>
      </c>
      <c r="H544" s="226">
        <v>148</v>
      </c>
      <c r="I544" s="226">
        <v>148</v>
      </c>
      <c r="J544" s="226">
        <v>136</v>
      </c>
      <c r="K544" s="226">
        <v>0</v>
      </c>
      <c r="L544" s="215" t="s">
        <v>1121</v>
      </c>
      <c r="M544" s="215">
        <v>6079010016</v>
      </c>
    </row>
    <row r="545" spans="1:13" ht="16.2" thickBot="1" x14ac:dyDescent="0.35">
      <c r="A545" s="215"/>
      <c r="B545" s="224">
        <v>44393</v>
      </c>
      <c r="C545" s="226">
        <v>20</v>
      </c>
      <c r="D545" s="226">
        <v>20</v>
      </c>
      <c r="E545" s="226">
        <v>1</v>
      </c>
      <c r="F545" s="225"/>
      <c r="G545" s="215" t="s">
        <v>1222</v>
      </c>
      <c r="H545" s="226">
        <v>20</v>
      </c>
      <c r="I545" s="226">
        <v>20</v>
      </c>
      <c r="J545" s="226">
        <v>18</v>
      </c>
      <c r="K545" s="226">
        <v>0</v>
      </c>
      <c r="L545" s="215" t="s">
        <v>1066</v>
      </c>
      <c r="M545" s="215">
        <v>6029006600</v>
      </c>
    </row>
    <row r="546" spans="1:13" ht="16.2" thickBot="1" x14ac:dyDescent="0.35">
      <c r="A546" s="215"/>
      <c r="B546" s="224">
        <v>44394</v>
      </c>
      <c r="C546" s="226">
        <v>23</v>
      </c>
      <c r="D546" s="226">
        <v>23</v>
      </c>
      <c r="E546" s="226">
        <v>1</v>
      </c>
      <c r="F546" s="225"/>
      <c r="G546" s="215" t="s">
        <v>1222</v>
      </c>
      <c r="H546" s="226">
        <v>23</v>
      </c>
      <c r="I546" s="226">
        <v>23</v>
      </c>
      <c r="J546" s="226">
        <v>11</v>
      </c>
      <c r="K546" s="226">
        <v>0</v>
      </c>
      <c r="L546" s="215" t="s">
        <v>1066</v>
      </c>
      <c r="M546" s="215">
        <v>6029006600</v>
      </c>
    </row>
    <row r="547" spans="1:13" ht="16.2" thickBot="1" x14ac:dyDescent="0.35">
      <c r="A547" s="215"/>
      <c r="B547" s="224">
        <v>44395</v>
      </c>
      <c r="C547" s="226">
        <v>5</v>
      </c>
      <c r="D547" s="226">
        <v>5</v>
      </c>
      <c r="E547" s="226">
        <v>1</v>
      </c>
      <c r="F547" s="225"/>
      <c r="G547" s="215" t="s">
        <v>1222</v>
      </c>
      <c r="H547" s="226">
        <v>5</v>
      </c>
      <c r="I547" s="226">
        <v>5</v>
      </c>
      <c r="J547" s="226">
        <v>1</v>
      </c>
      <c r="K547" s="226">
        <v>0</v>
      </c>
      <c r="L547" s="215" t="s">
        <v>1066</v>
      </c>
      <c r="M547" s="215">
        <v>6029006202</v>
      </c>
    </row>
    <row r="548" spans="1:13" ht="16.2" thickBot="1" x14ac:dyDescent="0.35">
      <c r="A548" s="215"/>
      <c r="B548" s="224">
        <v>44396</v>
      </c>
      <c r="C548" s="226">
        <v>14</v>
      </c>
      <c r="D548" s="226">
        <v>21</v>
      </c>
      <c r="E548" s="226">
        <v>1</v>
      </c>
      <c r="F548" s="225"/>
      <c r="G548" s="215" t="s">
        <v>1222</v>
      </c>
      <c r="H548" s="226">
        <v>14</v>
      </c>
      <c r="I548" s="226">
        <v>21</v>
      </c>
      <c r="J548" s="226">
        <v>9</v>
      </c>
      <c r="K548" s="226">
        <v>0</v>
      </c>
      <c r="L548" s="215" t="s">
        <v>1066</v>
      </c>
      <c r="M548" s="215">
        <v>6029003222</v>
      </c>
    </row>
    <row r="549" spans="1:13" ht="31.8" thickBot="1" x14ac:dyDescent="0.35">
      <c r="A549" s="215"/>
      <c r="B549" s="224">
        <v>44398</v>
      </c>
      <c r="C549" s="226">
        <v>4</v>
      </c>
      <c r="D549" s="226">
        <v>4</v>
      </c>
      <c r="E549" s="226">
        <v>1</v>
      </c>
      <c r="F549" s="225"/>
      <c r="G549" s="215" t="s">
        <v>1222</v>
      </c>
      <c r="H549" s="226">
        <v>4</v>
      </c>
      <c r="I549" s="226">
        <v>4</v>
      </c>
      <c r="J549" s="226">
        <v>3</v>
      </c>
      <c r="K549" s="226">
        <v>0</v>
      </c>
      <c r="L549" s="215" t="s">
        <v>1061</v>
      </c>
      <c r="M549" s="215" t="s">
        <v>1248</v>
      </c>
    </row>
    <row r="550" spans="1:13" ht="31.8" thickBot="1" x14ac:dyDescent="0.35">
      <c r="A550" s="215"/>
      <c r="B550" s="224">
        <v>44399</v>
      </c>
      <c r="C550" s="226">
        <v>2</v>
      </c>
      <c r="D550" s="226">
        <v>2</v>
      </c>
      <c r="E550" s="226">
        <v>1</v>
      </c>
      <c r="F550" s="225"/>
      <c r="G550" s="215" t="s">
        <v>1222</v>
      </c>
      <c r="H550" s="226">
        <v>2</v>
      </c>
      <c r="I550" s="226">
        <v>2</v>
      </c>
      <c r="J550" s="226">
        <v>2</v>
      </c>
      <c r="K550" s="226">
        <v>0</v>
      </c>
      <c r="L550" s="215" t="s">
        <v>1066</v>
      </c>
      <c r="M550" s="215" t="s">
        <v>1249</v>
      </c>
    </row>
    <row r="551" spans="1:13" ht="16.2" thickBot="1" x14ac:dyDescent="0.35">
      <c r="A551" s="215"/>
      <c r="B551" s="224">
        <v>44400</v>
      </c>
      <c r="C551" s="226">
        <v>57</v>
      </c>
      <c r="D551" s="226">
        <v>57</v>
      </c>
      <c r="E551" s="226">
        <v>1</v>
      </c>
      <c r="F551" s="225"/>
      <c r="G551" s="215" t="s">
        <v>1222</v>
      </c>
      <c r="H551" s="226">
        <v>57</v>
      </c>
      <c r="I551" s="226">
        <v>57</v>
      </c>
      <c r="J551" s="226">
        <v>55</v>
      </c>
      <c r="K551" s="226">
        <v>0</v>
      </c>
      <c r="L551" s="215" t="s">
        <v>1070</v>
      </c>
      <c r="M551" s="215">
        <v>6079011600</v>
      </c>
    </row>
    <row r="552" spans="1:13" ht="16.2" thickBot="1" x14ac:dyDescent="0.35">
      <c r="A552" s="215"/>
      <c r="B552" s="224">
        <v>44401</v>
      </c>
      <c r="C552" s="226">
        <v>2</v>
      </c>
      <c r="D552" s="226">
        <v>2</v>
      </c>
      <c r="E552" s="226">
        <v>1</v>
      </c>
      <c r="F552" s="225"/>
      <c r="G552" s="215" t="s">
        <v>1222</v>
      </c>
      <c r="H552" s="226">
        <v>2</v>
      </c>
      <c r="I552" s="226">
        <v>2</v>
      </c>
      <c r="J552" s="226">
        <v>2</v>
      </c>
      <c r="K552" s="226">
        <v>0</v>
      </c>
      <c r="L552" s="215" t="s">
        <v>1066</v>
      </c>
      <c r="M552" s="215">
        <v>6029003900</v>
      </c>
    </row>
    <row r="553" spans="1:13" ht="16.2" thickBot="1" x14ac:dyDescent="0.35">
      <c r="A553" s="215"/>
      <c r="B553" s="224">
        <v>44402</v>
      </c>
      <c r="C553" s="226">
        <v>7</v>
      </c>
      <c r="D553" s="226">
        <v>7</v>
      </c>
      <c r="E553" s="226">
        <v>1</v>
      </c>
      <c r="F553" s="225"/>
      <c r="G553" s="215" t="s">
        <v>1222</v>
      </c>
      <c r="H553" s="226">
        <v>7</v>
      </c>
      <c r="I553" s="226">
        <v>7</v>
      </c>
      <c r="J553" s="226">
        <v>4</v>
      </c>
      <c r="K553" s="226">
        <v>0</v>
      </c>
      <c r="L553" s="215" t="s">
        <v>1066</v>
      </c>
      <c r="M553" s="215">
        <v>6029004500</v>
      </c>
    </row>
    <row r="554" spans="1:13" ht="16.2" thickBot="1" x14ac:dyDescent="0.35">
      <c r="A554" s="215"/>
      <c r="B554" s="224">
        <v>44403</v>
      </c>
      <c r="C554" s="226">
        <v>7</v>
      </c>
      <c r="D554" s="226">
        <v>7</v>
      </c>
      <c r="E554" s="226">
        <v>1</v>
      </c>
      <c r="F554" s="225"/>
      <c r="G554" s="215" t="s">
        <v>1222</v>
      </c>
      <c r="H554" s="226">
        <v>7</v>
      </c>
      <c r="I554" s="226">
        <v>7</v>
      </c>
      <c r="J554" s="226">
        <v>5</v>
      </c>
      <c r="K554" s="226">
        <v>0</v>
      </c>
      <c r="L554" s="215" t="s">
        <v>1066</v>
      </c>
      <c r="M554" s="215">
        <v>6029004605</v>
      </c>
    </row>
    <row r="555" spans="1:13" ht="31.8" thickBot="1" x14ac:dyDescent="0.35">
      <c r="A555" s="215"/>
      <c r="B555" s="224">
        <v>44404</v>
      </c>
      <c r="C555" s="226">
        <v>21</v>
      </c>
      <c r="D555" s="226">
        <v>21</v>
      </c>
      <c r="E555" s="226">
        <v>1</v>
      </c>
      <c r="F555" s="225"/>
      <c r="G555" s="215" t="s">
        <v>1222</v>
      </c>
      <c r="H555" s="226">
        <v>21</v>
      </c>
      <c r="I555" s="226">
        <v>21</v>
      </c>
      <c r="J555" s="226">
        <v>22</v>
      </c>
      <c r="K555" s="226">
        <v>0</v>
      </c>
      <c r="L555" s="215" t="s">
        <v>1121</v>
      </c>
      <c r="M555" s="215" t="s">
        <v>1250</v>
      </c>
    </row>
    <row r="556" spans="1:13" ht="16.2" thickBot="1" x14ac:dyDescent="0.35">
      <c r="A556" s="215"/>
      <c r="B556" s="224">
        <v>44405</v>
      </c>
      <c r="C556" s="226">
        <v>2</v>
      </c>
      <c r="D556" s="226">
        <v>2</v>
      </c>
      <c r="E556" s="226">
        <v>1</v>
      </c>
      <c r="F556" s="225"/>
      <c r="G556" s="215" t="s">
        <v>1222</v>
      </c>
      <c r="H556" s="226">
        <v>2</v>
      </c>
      <c r="I556" s="226">
        <v>2</v>
      </c>
      <c r="J556" s="226">
        <v>1</v>
      </c>
      <c r="K556" s="226">
        <v>0</v>
      </c>
      <c r="L556" s="215" t="s">
        <v>1066</v>
      </c>
      <c r="M556" s="215">
        <v>6029003222</v>
      </c>
    </row>
    <row r="557" spans="1:13" ht="16.2" thickBot="1" x14ac:dyDescent="0.35">
      <c r="A557" s="215"/>
      <c r="B557" s="224">
        <v>44406</v>
      </c>
      <c r="C557" s="226">
        <v>29</v>
      </c>
      <c r="D557" s="226">
        <v>33</v>
      </c>
      <c r="E557" s="226">
        <v>1</v>
      </c>
      <c r="F557" s="225"/>
      <c r="G557" s="215" t="s">
        <v>1222</v>
      </c>
      <c r="H557" s="226">
        <v>29</v>
      </c>
      <c r="I557" s="226">
        <v>33</v>
      </c>
      <c r="J557" s="226">
        <v>21</v>
      </c>
      <c r="K557" s="226">
        <v>0</v>
      </c>
      <c r="L557" s="215" t="s">
        <v>1066</v>
      </c>
      <c r="M557" s="215">
        <v>6029003307</v>
      </c>
    </row>
    <row r="558" spans="1:13" ht="31.8" thickBot="1" x14ac:dyDescent="0.35">
      <c r="A558" s="215"/>
      <c r="B558" s="224">
        <v>44407</v>
      </c>
      <c r="C558" s="226">
        <v>1</v>
      </c>
      <c r="D558" s="226">
        <v>1</v>
      </c>
      <c r="E558" s="226">
        <v>1</v>
      </c>
      <c r="F558" s="225"/>
      <c r="G558" s="215" t="s">
        <v>1222</v>
      </c>
      <c r="H558" s="226">
        <v>1</v>
      </c>
      <c r="I558" s="226">
        <v>1</v>
      </c>
      <c r="J558" s="226">
        <v>0</v>
      </c>
      <c r="K558" s="226">
        <v>0</v>
      </c>
      <c r="L558" s="215" t="s">
        <v>1066</v>
      </c>
      <c r="M558" s="215" t="s">
        <v>1251</v>
      </c>
    </row>
    <row r="559" spans="1:13" ht="16.2" thickBot="1" x14ac:dyDescent="0.35">
      <c r="A559" s="215"/>
      <c r="B559" s="224">
        <v>44408</v>
      </c>
      <c r="C559" s="226">
        <v>1005</v>
      </c>
      <c r="D559" s="226">
        <v>1006</v>
      </c>
      <c r="E559" s="226">
        <v>1</v>
      </c>
      <c r="F559" s="225"/>
      <c r="G559" s="215" t="s">
        <v>1222</v>
      </c>
      <c r="H559" s="226">
        <v>1005</v>
      </c>
      <c r="I559" s="226">
        <v>1006</v>
      </c>
      <c r="J559" s="226">
        <v>953</v>
      </c>
      <c r="K559" s="226">
        <v>0</v>
      </c>
      <c r="L559" s="215" t="s">
        <v>1063</v>
      </c>
      <c r="M559" s="215">
        <v>6037920314</v>
      </c>
    </row>
    <row r="560" spans="1:13" ht="16.2" thickBot="1" x14ac:dyDescent="0.35">
      <c r="A560" s="215"/>
      <c r="B560" s="224">
        <v>44410</v>
      </c>
      <c r="C560" s="226">
        <v>1</v>
      </c>
      <c r="D560" s="226">
        <v>1</v>
      </c>
      <c r="E560" s="226">
        <v>1</v>
      </c>
      <c r="F560" s="225"/>
      <c r="G560" s="215" t="s">
        <v>1222</v>
      </c>
      <c r="H560" s="226">
        <v>1</v>
      </c>
      <c r="I560" s="226">
        <v>1</v>
      </c>
      <c r="J560" s="226">
        <v>1</v>
      </c>
      <c r="K560" s="226">
        <v>0</v>
      </c>
      <c r="L560" s="215" t="s">
        <v>1066</v>
      </c>
      <c r="M560" s="215">
        <v>6029004500</v>
      </c>
    </row>
    <row r="561" spans="1:13" ht="16.2" thickBot="1" x14ac:dyDescent="0.35">
      <c r="A561" s="215"/>
      <c r="B561" s="224">
        <v>44411</v>
      </c>
      <c r="C561" s="226">
        <v>6</v>
      </c>
      <c r="D561" s="226">
        <v>6</v>
      </c>
      <c r="E561" s="226">
        <v>1</v>
      </c>
      <c r="F561" s="225"/>
      <c r="G561" s="215" t="s">
        <v>1222</v>
      </c>
      <c r="H561" s="226">
        <v>6</v>
      </c>
      <c r="I561" s="226">
        <v>6</v>
      </c>
      <c r="J561" s="226">
        <v>6</v>
      </c>
      <c r="K561" s="226">
        <v>0</v>
      </c>
      <c r="L561" s="215" t="s">
        <v>1066</v>
      </c>
      <c r="M561" s="215">
        <v>6029003222</v>
      </c>
    </row>
    <row r="562" spans="1:13" ht="16.2" thickBot="1" x14ac:dyDescent="0.35">
      <c r="A562" s="215"/>
      <c r="B562" s="224">
        <v>44412</v>
      </c>
      <c r="C562" s="226">
        <v>1</v>
      </c>
      <c r="D562" s="226">
        <v>3</v>
      </c>
      <c r="E562" s="226">
        <v>1</v>
      </c>
      <c r="F562" s="225"/>
      <c r="G562" s="215" t="s">
        <v>1222</v>
      </c>
      <c r="H562" s="226">
        <v>1</v>
      </c>
      <c r="I562" s="226">
        <v>3</v>
      </c>
      <c r="J562" s="226">
        <v>3</v>
      </c>
      <c r="K562" s="226">
        <v>0</v>
      </c>
      <c r="L562" s="215" t="s">
        <v>1066</v>
      </c>
      <c r="M562" s="215">
        <v>6029003305</v>
      </c>
    </row>
    <row r="563" spans="1:13" ht="16.2" thickBot="1" x14ac:dyDescent="0.35">
      <c r="A563" s="215"/>
      <c r="B563" s="224">
        <v>44413</v>
      </c>
      <c r="C563" s="226">
        <v>1</v>
      </c>
      <c r="D563" s="226">
        <v>1</v>
      </c>
      <c r="E563" s="226">
        <v>1</v>
      </c>
      <c r="F563" s="225"/>
      <c r="G563" s="215" t="s">
        <v>1222</v>
      </c>
      <c r="H563" s="226">
        <v>1</v>
      </c>
      <c r="I563" s="226">
        <v>1</v>
      </c>
      <c r="J563" s="226">
        <v>1</v>
      </c>
      <c r="K563" s="226">
        <v>0</v>
      </c>
      <c r="L563" s="215" t="s">
        <v>1076</v>
      </c>
      <c r="M563" s="215">
        <v>6083002006</v>
      </c>
    </row>
    <row r="564" spans="1:13" ht="16.2" thickBot="1" x14ac:dyDescent="0.35">
      <c r="A564" s="215"/>
      <c r="B564" s="224">
        <v>44414</v>
      </c>
      <c r="C564" s="226">
        <v>5</v>
      </c>
      <c r="D564" s="226">
        <v>5</v>
      </c>
      <c r="E564" s="226">
        <v>1</v>
      </c>
      <c r="F564" s="225"/>
      <c r="G564" s="215" t="s">
        <v>1222</v>
      </c>
      <c r="H564" s="226">
        <v>5</v>
      </c>
      <c r="I564" s="226">
        <v>5</v>
      </c>
      <c r="J564" s="226">
        <v>5</v>
      </c>
      <c r="K564" s="226">
        <v>0</v>
      </c>
      <c r="L564" s="215" t="s">
        <v>1066</v>
      </c>
      <c r="M564" s="215">
        <v>6029003304</v>
      </c>
    </row>
    <row r="565" spans="1:13" ht="47.4" thickBot="1" x14ac:dyDescent="0.35">
      <c r="A565" s="215"/>
      <c r="B565" s="224">
        <v>44415</v>
      </c>
      <c r="C565" s="226">
        <v>1434</v>
      </c>
      <c r="D565" s="226">
        <v>1442</v>
      </c>
      <c r="E565" s="226">
        <v>1</v>
      </c>
      <c r="F565" s="225"/>
      <c r="G565" s="215" t="s">
        <v>1222</v>
      </c>
      <c r="H565" s="226">
        <v>1434</v>
      </c>
      <c r="I565" s="226">
        <v>1442</v>
      </c>
      <c r="J565" s="226">
        <v>1413</v>
      </c>
      <c r="K565" s="226">
        <v>0</v>
      </c>
      <c r="L565" s="215" t="s">
        <v>1061</v>
      </c>
      <c r="M565" s="215" t="s">
        <v>1252</v>
      </c>
    </row>
    <row r="566" spans="1:13" ht="409.6" thickBot="1" x14ac:dyDescent="0.35">
      <c r="A566" s="215"/>
      <c r="B566" s="224">
        <v>44416</v>
      </c>
      <c r="C566" s="226">
        <v>3518</v>
      </c>
      <c r="D566" s="226">
        <v>3560</v>
      </c>
      <c r="E566" s="226">
        <v>15</v>
      </c>
      <c r="F566" s="225" t="s">
        <v>1253</v>
      </c>
      <c r="G566" s="215" t="s">
        <v>1222</v>
      </c>
      <c r="H566" s="226">
        <v>52765</v>
      </c>
      <c r="I566" s="226">
        <v>53397</v>
      </c>
      <c r="J566" s="226">
        <v>50151</v>
      </c>
      <c r="K566" s="226">
        <v>4</v>
      </c>
      <c r="L566" s="215" t="s">
        <v>1065</v>
      </c>
      <c r="M566" s="215" t="s">
        <v>1254</v>
      </c>
    </row>
    <row r="567" spans="1:13" ht="16.2" thickBot="1" x14ac:dyDescent="0.35">
      <c r="A567" s="215"/>
      <c r="B567" s="224">
        <v>44417</v>
      </c>
      <c r="C567" s="226">
        <v>8</v>
      </c>
      <c r="D567" s="226">
        <v>8</v>
      </c>
      <c r="E567" s="226">
        <v>1</v>
      </c>
      <c r="F567" s="225"/>
      <c r="G567" s="215" t="s">
        <v>1222</v>
      </c>
      <c r="H567" s="226">
        <v>8</v>
      </c>
      <c r="I567" s="226">
        <v>8</v>
      </c>
      <c r="J567" s="226">
        <v>8</v>
      </c>
      <c r="K567" s="226">
        <v>0</v>
      </c>
      <c r="L567" s="215" t="s">
        <v>1061</v>
      </c>
      <c r="M567" s="215">
        <v>6029005514</v>
      </c>
    </row>
    <row r="568" spans="1:13" ht="281.39999999999998" thickBot="1" x14ac:dyDescent="0.35">
      <c r="A568" s="215"/>
      <c r="B568" s="224">
        <v>44418</v>
      </c>
      <c r="C568" s="226">
        <v>5484</v>
      </c>
      <c r="D568" s="226">
        <v>5518</v>
      </c>
      <c r="E568" s="226">
        <v>4</v>
      </c>
      <c r="F568" s="225"/>
      <c r="G568" s="215" t="s">
        <v>1222</v>
      </c>
      <c r="H568" s="226">
        <v>21936</v>
      </c>
      <c r="I568" s="226">
        <v>22070</v>
      </c>
      <c r="J568" s="226">
        <v>20365</v>
      </c>
      <c r="K568" s="226">
        <v>1</v>
      </c>
      <c r="L568" s="215" t="s">
        <v>1061</v>
      </c>
      <c r="M568" s="215" t="s">
        <v>1255</v>
      </c>
    </row>
    <row r="569" spans="1:13" ht="16.2" thickBot="1" x14ac:dyDescent="0.35">
      <c r="A569" s="215"/>
      <c r="B569" s="224">
        <v>44419</v>
      </c>
      <c r="C569" s="226">
        <v>2</v>
      </c>
      <c r="D569" s="226">
        <v>2</v>
      </c>
      <c r="E569" s="226">
        <v>1</v>
      </c>
      <c r="F569" s="225"/>
      <c r="G569" s="215" t="s">
        <v>1222</v>
      </c>
      <c r="H569" s="226">
        <v>2</v>
      </c>
      <c r="I569" s="226">
        <v>2</v>
      </c>
      <c r="J569" s="226">
        <v>2</v>
      </c>
      <c r="K569" s="226">
        <v>0</v>
      </c>
      <c r="L569" s="215" t="s">
        <v>1063</v>
      </c>
      <c r="M569" s="215">
        <v>6037910804</v>
      </c>
    </row>
    <row r="570" spans="1:13" ht="16.2" thickBot="1" x14ac:dyDescent="0.35">
      <c r="A570" s="215"/>
      <c r="B570" s="224">
        <v>44420</v>
      </c>
      <c r="C570" s="226">
        <v>2</v>
      </c>
      <c r="D570" s="226">
        <v>2</v>
      </c>
      <c r="E570" s="226">
        <v>1</v>
      </c>
      <c r="F570" s="225"/>
      <c r="G570" s="215" t="s">
        <v>1222</v>
      </c>
      <c r="H570" s="226">
        <v>2</v>
      </c>
      <c r="I570" s="226">
        <v>2</v>
      </c>
      <c r="J570" s="226">
        <v>2</v>
      </c>
      <c r="K570" s="226">
        <v>0</v>
      </c>
      <c r="L570" s="215" t="s">
        <v>1121</v>
      </c>
      <c r="M570" s="215">
        <v>6079010207</v>
      </c>
    </row>
    <row r="571" spans="1:13" ht="16.2" thickBot="1" x14ac:dyDescent="0.35">
      <c r="A571" s="215"/>
      <c r="B571" s="224">
        <v>44421</v>
      </c>
      <c r="C571" s="226">
        <v>15</v>
      </c>
      <c r="D571" s="226">
        <v>15</v>
      </c>
      <c r="E571" s="226">
        <v>1</v>
      </c>
      <c r="F571" s="225"/>
      <c r="G571" s="215" t="s">
        <v>1222</v>
      </c>
      <c r="H571" s="226">
        <v>15</v>
      </c>
      <c r="I571" s="226">
        <v>15</v>
      </c>
      <c r="J571" s="226">
        <v>13</v>
      </c>
      <c r="K571" s="226">
        <v>0</v>
      </c>
      <c r="L571" s="215" t="s">
        <v>1061</v>
      </c>
      <c r="M571" s="215">
        <v>6037900901</v>
      </c>
    </row>
    <row r="572" spans="1:13" ht="31.8" thickBot="1" x14ac:dyDescent="0.35">
      <c r="A572" s="215"/>
      <c r="B572" s="224">
        <v>44422</v>
      </c>
      <c r="C572" s="226">
        <v>113</v>
      </c>
      <c r="D572" s="226">
        <v>113</v>
      </c>
      <c r="E572" s="226">
        <v>1</v>
      </c>
      <c r="F572" s="225"/>
      <c r="G572" s="215" t="s">
        <v>1222</v>
      </c>
      <c r="H572" s="226">
        <v>113</v>
      </c>
      <c r="I572" s="226">
        <v>113</v>
      </c>
      <c r="J572" s="226">
        <v>120</v>
      </c>
      <c r="K572" s="226">
        <v>0</v>
      </c>
      <c r="L572" s="215" t="s">
        <v>1061</v>
      </c>
      <c r="M572" s="215" t="s">
        <v>1256</v>
      </c>
    </row>
    <row r="573" spans="1:13" ht="16.2" thickBot="1" x14ac:dyDescent="0.35">
      <c r="A573" s="215"/>
      <c r="B573" s="224">
        <v>44426</v>
      </c>
      <c r="C573" s="226">
        <v>3</v>
      </c>
      <c r="D573" s="226">
        <v>3</v>
      </c>
      <c r="E573" s="226">
        <v>1</v>
      </c>
      <c r="F573" s="225"/>
      <c r="G573" s="215" t="s">
        <v>1222</v>
      </c>
      <c r="H573" s="226">
        <v>3</v>
      </c>
      <c r="I573" s="226">
        <v>3</v>
      </c>
      <c r="J573" s="226">
        <v>3</v>
      </c>
      <c r="K573" s="226">
        <v>0</v>
      </c>
      <c r="L573" s="215" t="s">
        <v>1063</v>
      </c>
      <c r="M573" s="215">
        <v>6037910814</v>
      </c>
    </row>
    <row r="574" spans="1:13" ht="31.8" thickBot="1" x14ac:dyDescent="0.35">
      <c r="A574" s="215"/>
      <c r="B574" s="224">
        <v>44427</v>
      </c>
      <c r="C574" s="226">
        <v>1</v>
      </c>
      <c r="D574" s="226">
        <v>1</v>
      </c>
      <c r="E574" s="226">
        <v>1</v>
      </c>
      <c r="F574" s="225"/>
      <c r="G574" s="215" t="s">
        <v>1222</v>
      </c>
      <c r="H574" s="226">
        <v>1</v>
      </c>
      <c r="I574" s="226">
        <v>1</v>
      </c>
      <c r="J574" s="226">
        <v>1</v>
      </c>
      <c r="K574" s="226">
        <v>0</v>
      </c>
      <c r="L574" s="215" t="s">
        <v>1061</v>
      </c>
      <c r="M574" s="215" t="s">
        <v>1062</v>
      </c>
    </row>
    <row r="575" spans="1:13" ht="16.2" thickBot="1" x14ac:dyDescent="0.35">
      <c r="A575" s="215"/>
      <c r="B575" s="224">
        <v>44430</v>
      </c>
      <c r="C575" s="226">
        <v>42</v>
      </c>
      <c r="D575" s="226">
        <v>42</v>
      </c>
      <c r="E575" s="226">
        <v>1</v>
      </c>
      <c r="F575" s="225"/>
      <c r="G575" s="215" t="s">
        <v>1222</v>
      </c>
      <c r="H575" s="226">
        <v>42</v>
      </c>
      <c r="I575" s="226">
        <v>42</v>
      </c>
      <c r="J575" s="226">
        <v>26</v>
      </c>
      <c r="K575" s="226">
        <v>0</v>
      </c>
      <c r="L575" s="215" t="s">
        <v>1129</v>
      </c>
      <c r="M575" s="215">
        <v>6083002932</v>
      </c>
    </row>
    <row r="576" spans="1:13" ht="409.6" thickBot="1" x14ac:dyDescent="0.35">
      <c r="A576" s="215"/>
      <c r="B576" s="224">
        <v>45001</v>
      </c>
      <c r="C576" s="226">
        <v>5289</v>
      </c>
      <c r="D576" s="226">
        <v>5903</v>
      </c>
      <c r="E576" s="226">
        <v>12</v>
      </c>
      <c r="F576" s="225"/>
      <c r="G576" s="215" t="s">
        <v>1222</v>
      </c>
      <c r="H576" s="226">
        <v>63473</v>
      </c>
      <c r="I576" s="226">
        <v>70837</v>
      </c>
      <c r="J576" s="226">
        <v>64479</v>
      </c>
      <c r="K576" s="226">
        <v>1</v>
      </c>
      <c r="L576" s="215" t="s">
        <v>1257</v>
      </c>
      <c r="M576" s="215" t="s">
        <v>1258</v>
      </c>
    </row>
    <row r="577" spans="1:13" ht="409.6" thickBot="1" x14ac:dyDescent="0.35">
      <c r="A577" s="215"/>
      <c r="B577" s="224">
        <v>45002</v>
      </c>
      <c r="C577" s="226">
        <v>7019</v>
      </c>
      <c r="D577" s="226">
        <v>7388</v>
      </c>
      <c r="E577" s="226">
        <v>48</v>
      </c>
      <c r="F577" s="225" t="s">
        <v>1259</v>
      </c>
      <c r="G577" s="215" t="s">
        <v>1222</v>
      </c>
      <c r="H577" s="226">
        <v>336909</v>
      </c>
      <c r="I577" s="226">
        <v>354605</v>
      </c>
      <c r="J577" s="226">
        <v>316879</v>
      </c>
      <c r="K577" s="226">
        <v>23</v>
      </c>
      <c r="L577" s="215" t="s">
        <v>1260</v>
      </c>
      <c r="M577" s="215" t="s">
        <v>1261</v>
      </c>
    </row>
    <row r="578" spans="1:13" ht="406.2" thickBot="1" x14ac:dyDescent="0.35">
      <c r="A578" s="215"/>
      <c r="B578" s="224">
        <v>45003</v>
      </c>
      <c r="C578" s="226">
        <v>5610</v>
      </c>
      <c r="D578" s="226">
        <v>6089</v>
      </c>
      <c r="E578" s="226">
        <v>5</v>
      </c>
      <c r="F578" s="225"/>
      <c r="G578" s="215" t="s">
        <v>1222</v>
      </c>
      <c r="H578" s="226">
        <v>28050</v>
      </c>
      <c r="I578" s="226">
        <v>30445</v>
      </c>
      <c r="J578" s="226">
        <v>27685</v>
      </c>
      <c r="K578" s="226">
        <v>4</v>
      </c>
      <c r="L578" s="215" t="s">
        <v>1262</v>
      </c>
      <c r="M578" s="215" t="s">
        <v>1263</v>
      </c>
    </row>
    <row r="579" spans="1:13" ht="312.60000000000002" thickBot="1" x14ac:dyDescent="0.35">
      <c r="A579" s="215"/>
      <c r="B579" s="224">
        <v>45005</v>
      </c>
      <c r="C579" s="226">
        <v>3647</v>
      </c>
      <c r="D579" s="226">
        <v>4055</v>
      </c>
      <c r="E579" s="226">
        <v>3</v>
      </c>
      <c r="F579" s="225"/>
      <c r="G579" s="215" t="s">
        <v>1222</v>
      </c>
      <c r="H579" s="226">
        <v>10942</v>
      </c>
      <c r="I579" s="226">
        <v>12165</v>
      </c>
      <c r="J579" s="226">
        <v>10706</v>
      </c>
      <c r="K579" s="226">
        <v>0</v>
      </c>
      <c r="L579" s="215" t="s">
        <v>1264</v>
      </c>
      <c r="M579" s="215" t="s">
        <v>1265</v>
      </c>
    </row>
    <row r="580" spans="1:13" ht="409.6" thickBot="1" x14ac:dyDescent="0.35">
      <c r="A580" s="215"/>
      <c r="B580" s="224">
        <v>45008</v>
      </c>
      <c r="C580" s="226">
        <v>9045</v>
      </c>
      <c r="D580" s="226">
        <v>9634</v>
      </c>
      <c r="E580" s="226">
        <v>12</v>
      </c>
      <c r="F580" s="225"/>
      <c r="G580" s="215" t="s">
        <v>1222</v>
      </c>
      <c r="H580" s="226">
        <v>108537</v>
      </c>
      <c r="I580" s="226">
        <v>115610</v>
      </c>
      <c r="J580" s="226">
        <v>101188</v>
      </c>
      <c r="K580" s="226">
        <v>6</v>
      </c>
      <c r="L580" s="215" t="s">
        <v>1266</v>
      </c>
      <c r="M580" s="215" t="s">
        <v>1267</v>
      </c>
    </row>
    <row r="581" spans="1:13" ht="409.6" thickBot="1" x14ac:dyDescent="0.35">
      <c r="A581" s="215"/>
      <c r="B581" s="224">
        <v>45009</v>
      </c>
      <c r="C581" s="226">
        <v>5068</v>
      </c>
      <c r="D581" s="226">
        <v>5227</v>
      </c>
      <c r="E581" s="226">
        <v>31</v>
      </c>
      <c r="F581" s="225"/>
      <c r="G581" s="215" t="s">
        <v>1222</v>
      </c>
      <c r="H581" s="226">
        <v>157106</v>
      </c>
      <c r="I581" s="226">
        <v>162037</v>
      </c>
      <c r="J581" s="226">
        <v>143800</v>
      </c>
      <c r="K581" s="226">
        <v>9</v>
      </c>
      <c r="L581" s="215" t="s">
        <v>1046</v>
      </c>
      <c r="M581" s="215" t="s">
        <v>1268</v>
      </c>
    </row>
    <row r="582" spans="1:13" ht="109.8" thickBot="1" x14ac:dyDescent="0.35">
      <c r="A582" s="215"/>
      <c r="B582" s="224">
        <v>45014</v>
      </c>
      <c r="C582" s="226">
        <v>1686</v>
      </c>
      <c r="D582" s="226">
        <v>1700</v>
      </c>
      <c r="E582" s="226">
        <v>2</v>
      </c>
      <c r="F582" s="225"/>
      <c r="G582" s="215" t="s">
        <v>1222</v>
      </c>
      <c r="H582" s="226">
        <v>3372</v>
      </c>
      <c r="I582" s="226">
        <v>3399</v>
      </c>
      <c r="J582" s="226">
        <v>2894</v>
      </c>
      <c r="K582" s="226">
        <v>0</v>
      </c>
      <c r="L582" s="215" t="s">
        <v>1048</v>
      </c>
      <c r="M582" s="215" t="s">
        <v>1269</v>
      </c>
    </row>
    <row r="583" spans="1:13" ht="375" thickBot="1" x14ac:dyDescent="0.35">
      <c r="A583" s="215"/>
      <c r="B583" s="224">
        <v>45020</v>
      </c>
      <c r="C583" s="226">
        <v>3688</v>
      </c>
      <c r="D583" s="226">
        <v>4077</v>
      </c>
      <c r="E583" s="226">
        <v>7</v>
      </c>
      <c r="F583" s="225"/>
      <c r="G583" s="215" t="s">
        <v>1222</v>
      </c>
      <c r="H583" s="226">
        <v>25815</v>
      </c>
      <c r="I583" s="226">
        <v>28542</v>
      </c>
      <c r="J583" s="226">
        <v>27150</v>
      </c>
      <c r="K583" s="226">
        <v>6</v>
      </c>
      <c r="L583" s="215" t="s">
        <v>1063</v>
      </c>
      <c r="M583" s="215" t="s">
        <v>1270</v>
      </c>
    </row>
    <row r="584" spans="1:13" ht="31.8" thickBot="1" x14ac:dyDescent="0.35">
      <c r="A584" s="215"/>
      <c r="B584" s="224">
        <v>45023</v>
      </c>
      <c r="C584" s="226">
        <v>2</v>
      </c>
      <c r="D584" s="226">
        <v>2</v>
      </c>
      <c r="E584" s="226">
        <v>1</v>
      </c>
      <c r="F584" s="225"/>
      <c r="G584" s="215" t="s">
        <v>1222</v>
      </c>
      <c r="H584" s="226">
        <v>2</v>
      </c>
      <c r="I584" s="226">
        <v>2</v>
      </c>
      <c r="J584" s="226">
        <v>1</v>
      </c>
      <c r="K584" s="226">
        <v>0</v>
      </c>
      <c r="L584" s="215" t="s">
        <v>1063</v>
      </c>
      <c r="M584" s="215" t="s">
        <v>1271</v>
      </c>
    </row>
    <row r="585" spans="1:13" ht="31.8" thickBot="1" x14ac:dyDescent="0.35">
      <c r="A585" s="215"/>
      <c r="B585" s="224">
        <v>45026</v>
      </c>
      <c r="C585" s="226">
        <v>4</v>
      </c>
      <c r="D585" s="226">
        <v>4</v>
      </c>
      <c r="E585" s="226">
        <v>1</v>
      </c>
      <c r="F585" s="225"/>
      <c r="G585" s="215" t="s">
        <v>1222</v>
      </c>
      <c r="H585" s="226">
        <v>4</v>
      </c>
      <c r="I585" s="226">
        <v>4</v>
      </c>
      <c r="J585" s="226">
        <v>3</v>
      </c>
      <c r="K585" s="226">
        <v>0</v>
      </c>
      <c r="L585" s="215" t="s">
        <v>1063</v>
      </c>
      <c r="M585" s="215" t="s">
        <v>1272</v>
      </c>
    </row>
    <row r="586" spans="1:13" ht="409.6" thickBot="1" x14ac:dyDescent="0.35">
      <c r="A586" s="215"/>
      <c r="B586" s="224">
        <v>45027</v>
      </c>
      <c r="C586" s="226">
        <v>4306</v>
      </c>
      <c r="D586" s="226">
        <v>4936</v>
      </c>
      <c r="E586" s="226">
        <v>12</v>
      </c>
      <c r="F586" s="225" t="s">
        <v>1273</v>
      </c>
      <c r="G586" s="215" t="s">
        <v>1222</v>
      </c>
      <c r="H586" s="226">
        <v>51673</v>
      </c>
      <c r="I586" s="226">
        <v>59226</v>
      </c>
      <c r="J586" s="226">
        <v>56335</v>
      </c>
      <c r="K586" s="226">
        <v>2</v>
      </c>
      <c r="L586" s="215" t="s">
        <v>1063</v>
      </c>
      <c r="M586" s="215" t="s">
        <v>1274</v>
      </c>
    </row>
    <row r="587" spans="1:13" ht="94.2" thickBot="1" x14ac:dyDescent="0.35">
      <c r="A587" s="215"/>
      <c r="B587" s="224">
        <v>45030</v>
      </c>
      <c r="C587" s="226">
        <v>2163</v>
      </c>
      <c r="D587" s="226">
        <v>2180</v>
      </c>
      <c r="E587" s="226">
        <v>2</v>
      </c>
      <c r="F587" s="225"/>
      <c r="G587" s="215" t="s">
        <v>1222</v>
      </c>
      <c r="H587" s="226">
        <v>4325</v>
      </c>
      <c r="I587" s="226">
        <v>4359</v>
      </c>
      <c r="J587" s="226">
        <v>4166</v>
      </c>
      <c r="K587" s="226">
        <v>0</v>
      </c>
      <c r="L587" s="215" t="s">
        <v>1063</v>
      </c>
      <c r="M587" s="215" t="s">
        <v>1275</v>
      </c>
    </row>
    <row r="588" spans="1:13" ht="31.8" thickBot="1" x14ac:dyDescent="0.35">
      <c r="A588" s="215"/>
      <c r="B588" s="224">
        <v>45034</v>
      </c>
      <c r="C588" s="226">
        <v>224</v>
      </c>
      <c r="D588" s="226">
        <v>226</v>
      </c>
      <c r="E588" s="226">
        <v>2</v>
      </c>
      <c r="F588" s="225"/>
      <c r="G588" s="215" t="s">
        <v>1222</v>
      </c>
      <c r="H588" s="226">
        <v>448</v>
      </c>
      <c r="I588" s="226">
        <v>452</v>
      </c>
      <c r="J588" s="226">
        <v>406</v>
      </c>
      <c r="K588" s="226">
        <v>0</v>
      </c>
      <c r="L588" s="215" t="s">
        <v>1063</v>
      </c>
      <c r="M588" s="215" t="s">
        <v>1276</v>
      </c>
    </row>
    <row r="589" spans="1:13" ht="16.2" thickBot="1" x14ac:dyDescent="0.35">
      <c r="A589" s="215"/>
      <c r="B589" s="224">
        <v>45035</v>
      </c>
      <c r="C589" s="226">
        <v>2</v>
      </c>
      <c r="D589" s="226">
        <v>2</v>
      </c>
      <c r="E589" s="226">
        <v>1</v>
      </c>
      <c r="F589" s="225"/>
      <c r="G589" s="215" t="s">
        <v>1222</v>
      </c>
      <c r="H589" s="226">
        <v>2</v>
      </c>
      <c r="I589" s="226">
        <v>2</v>
      </c>
      <c r="J589" s="226">
        <v>2</v>
      </c>
      <c r="K589" s="226">
        <v>0</v>
      </c>
      <c r="L589" s="215" t="s">
        <v>1063</v>
      </c>
      <c r="M589" s="215">
        <v>6037910814</v>
      </c>
    </row>
    <row r="590" spans="1:13" ht="16.2" thickBot="1" x14ac:dyDescent="0.35">
      <c r="A590" s="215"/>
      <c r="B590" s="224">
        <v>45036</v>
      </c>
      <c r="C590" s="226">
        <v>10</v>
      </c>
      <c r="D590" s="226">
        <v>10</v>
      </c>
      <c r="E590" s="226">
        <v>1</v>
      </c>
      <c r="F590" s="225"/>
      <c r="G590" s="215" t="s">
        <v>1222</v>
      </c>
      <c r="H590" s="226">
        <v>10</v>
      </c>
      <c r="I590" s="226">
        <v>10</v>
      </c>
      <c r="J590" s="226">
        <v>10</v>
      </c>
      <c r="K590" s="226">
        <v>0</v>
      </c>
      <c r="L590" s="215" t="s">
        <v>1063</v>
      </c>
      <c r="M590" s="215">
        <v>6037910814</v>
      </c>
    </row>
    <row r="591" spans="1:13" ht="16.2" thickBot="1" x14ac:dyDescent="0.35">
      <c r="A591" s="215"/>
      <c r="B591" s="224">
        <v>45042</v>
      </c>
      <c r="C591" s="226">
        <v>140</v>
      </c>
      <c r="D591" s="226">
        <v>140</v>
      </c>
      <c r="E591" s="226">
        <v>1</v>
      </c>
      <c r="F591" s="225"/>
      <c r="G591" s="215" t="s">
        <v>1222</v>
      </c>
      <c r="H591" s="226">
        <v>140</v>
      </c>
      <c r="I591" s="226">
        <v>140</v>
      </c>
      <c r="J591" s="226">
        <v>73</v>
      </c>
      <c r="K591" s="226">
        <v>0</v>
      </c>
      <c r="L591" s="215" t="s">
        <v>1277</v>
      </c>
      <c r="M591" s="215">
        <v>6037433103</v>
      </c>
    </row>
    <row r="592" spans="1:13" ht="47.4" thickBot="1" x14ac:dyDescent="0.35">
      <c r="A592" s="215"/>
      <c r="B592" s="224">
        <v>45044</v>
      </c>
      <c r="C592" s="226">
        <v>553</v>
      </c>
      <c r="D592" s="226">
        <v>553</v>
      </c>
      <c r="E592" s="226">
        <v>1</v>
      </c>
      <c r="F592" s="225"/>
      <c r="G592" s="215" t="s">
        <v>1222</v>
      </c>
      <c r="H592" s="226">
        <v>553</v>
      </c>
      <c r="I592" s="226">
        <v>553</v>
      </c>
      <c r="J592" s="226">
        <v>463</v>
      </c>
      <c r="K592" s="226">
        <v>1</v>
      </c>
      <c r="L592" s="215" t="s">
        <v>1278</v>
      </c>
      <c r="M592" s="215" t="s">
        <v>1279</v>
      </c>
    </row>
    <row r="593" spans="1:13" ht="409.6" thickBot="1" x14ac:dyDescent="0.35">
      <c r="A593" s="215"/>
      <c r="B593" s="224">
        <v>45045</v>
      </c>
      <c r="C593" s="226">
        <v>7551</v>
      </c>
      <c r="D593" s="226">
        <v>7840</v>
      </c>
      <c r="E593" s="226">
        <v>31</v>
      </c>
      <c r="F593" s="225" t="s">
        <v>1280</v>
      </c>
      <c r="G593" s="215" t="s">
        <v>1222</v>
      </c>
      <c r="H593" s="226">
        <v>234077</v>
      </c>
      <c r="I593" s="226">
        <v>243046</v>
      </c>
      <c r="J593" s="226">
        <v>226975</v>
      </c>
      <c r="K593" s="226">
        <v>37</v>
      </c>
      <c r="L593" s="215" t="s">
        <v>1281</v>
      </c>
      <c r="M593" s="215" t="s">
        <v>1282</v>
      </c>
    </row>
    <row r="594" spans="1:13" ht="409.6" thickBot="1" x14ac:dyDescent="0.35">
      <c r="A594" s="215"/>
      <c r="B594" s="224">
        <v>45046</v>
      </c>
      <c r="C594" s="226">
        <v>4295</v>
      </c>
      <c r="D594" s="226">
        <v>4380</v>
      </c>
      <c r="E594" s="226">
        <v>7</v>
      </c>
      <c r="F594" s="225"/>
      <c r="G594" s="215" t="s">
        <v>1222</v>
      </c>
      <c r="H594" s="226">
        <v>30065</v>
      </c>
      <c r="I594" s="226">
        <v>30661</v>
      </c>
      <c r="J594" s="226">
        <v>27972</v>
      </c>
      <c r="K594" s="226">
        <v>3</v>
      </c>
      <c r="L594" s="215" t="s">
        <v>1283</v>
      </c>
      <c r="M594" s="215" t="s">
        <v>1284</v>
      </c>
    </row>
    <row r="595" spans="1:13" ht="16.2" thickBot="1" x14ac:dyDescent="0.35">
      <c r="A595" s="215"/>
      <c r="B595" s="224">
        <v>45048</v>
      </c>
      <c r="C595" s="226">
        <v>7</v>
      </c>
      <c r="D595" s="226">
        <v>50</v>
      </c>
      <c r="E595" s="226">
        <v>1</v>
      </c>
      <c r="F595" s="225"/>
      <c r="G595" s="215" t="s">
        <v>1222</v>
      </c>
      <c r="H595" s="226">
        <v>7</v>
      </c>
      <c r="I595" s="226">
        <v>50</v>
      </c>
      <c r="J595" s="226">
        <v>5</v>
      </c>
      <c r="K595" s="226">
        <v>0</v>
      </c>
      <c r="L595" s="215" t="s">
        <v>1278</v>
      </c>
      <c r="M595" s="215">
        <v>6037409000</v>
      </c>
    </row>
    <row r="596" spans="1:13" ht="16.2" thickBot="1" x14ac:dyDescent="0.35">
      <c r="A596" s="215"/>
      <c r="B596" s="224">
        <v>45049</v>
      </c>
      <c r="C596" s="226">
        <v>56</v>
      </c>
      <c r="D596" s="226">
        <v>66</v>
      </c>
      <c r="E596" s="226">
        <v>1</v>
      </c>
      <c r="F596" s="225"/>
      <c r="G596" s="215" t="s">
        <v>1222</v>
      </c>
      <c r="H596" s="226">
        <v>56</v>
      </c>
      <c r="I596" s="226">
        <v>66</v>
      </c>
      <c r="J596" s="226">
        <v>38</v>
      </c>
      <c r="K596" s="226">
        <v>0</v>
      </c>
      <c r="L596" s="215" t="s">
        <v>1278</v>
      </c>
      <c r="M596" s="215">
        <v>6037409000</v>
      </c>
    </row>
    <row r="597" spans="1:13" ht="16.2" thickBot="1" x14ac:dyDescent="0.35">
      <c r="A597" s="215"/>
      <c r="B597" s="224">
        <v>45051</v>
      </c>
      <c r="C597" s="226">
        <v>48</v>
      </c>
      <c r="D597" s="226">
        <v>48</v>
      </c>
      <c r="E597" s="226">
        <v>1</v>
      </c>
      <c r="F597" s="225"/>
      <c r="G597" s="215" t="s">
        <v>1222</v>
      </c>
      <c r="H597" s="226">
        <v>48</v>
      </c>
      <c r="I597" s="226">
        <v>48</v>
      </c>
      <c r="J597" s="226">
        <v>16</v>
      </c>
      <c r="K597" s="226">
        <v>0</v>
      </c>
      <c r="L597" s="215" t="s">
        <v>1285</v>
      </c>
      <c r="M597" s="215">
        <v>6037401500</v>
      </c>
    </row>
    <row r="598" spans="1:13" ht="94.2" thickBot="1" x14ac:dyDescent="0.35">
      <c r="A598" s="215"/>
      <c r="B598" s="224">
        <v>45052</v>
      </c>
      <c r="C598" s="226">
        <v>3379</v>
      </c>
      <c r="D598" s="226">
        <v>3461</v>
      </c>
      <c r="E598" s="226">
        <v>1</v>
      </c>
      <c r="F598" s="225"/>
      <c r="G598" s="215" t="s">
        <v>1222</v>
      </c>
      <c r="H598" s="226">
        <v>3379</v>
      </c>
      <c r="I598" s="226">
        <v>3461</v>
      </c>
      <c r="J598" s="226">
        <v>3205</v>
      </c>
      <c r="K598" s="226">
        <v>0</v>
      </c>
      <c r="L598" s="215" t="s">
        <v>1285</v>
      </c>
      <c r="M598" s="215" t="s">
        <v>1286</v>
      </c>
    </row>
    <row r="599" spans="1:13" ht="63" thickBot="1" x14ac:dyDescent="0.35">
      <c r="A599" s="215"/>
      <c r="B599" s="224">
        <v>45055</v>
      </c>
      <c r="C599" s="226">
        <v>441</v>
      </c>
      <c r="D599" s="226">
        <v>685</v>
      </c>
      <c r="E599" s="226">
        <v>1</v>
      </c>
      <c r="F599" s="225"/>
      <c r="G599" s="215" t="s">
        <v>1222</v>
      </c>
      <c r="H599" s="226">
        <v>441</v>
      </c>
      <c r="I599" s="226">
        <v>685</v>
      </c>
      <c r="J599" s="226">
        <v>608</v>
      </c>
      <c r="K599" s="226">
        <v>1</v>
      </c>
      <c r="L599" s="215" t="s">
        <v>1063</v>
      </c>
      <c r="M599" s="215" t="s">
        <v>1287</v>
      </c>
    </row>
    <row r="600" spans="1:13" ht="16.2" thickBot="1" x14ac:dyDescent="0.35">
      <c r="A600" s="215"/>
      <c r="B600" s="224">
        <v>45057</v>
      </c>
      <c r="C600" s="226">
        <v>14</v>
      </c>
      <c r="D600" s="226">
        <v>78</v>
      </c>
      <c r="E600" s="226">
        <v>1</v>
      </c>
      <c r="F600" s="225"/>
      <c r="G600" s="215" t="s">
        <v>1222</v>
      </c>
      <c r="H600" s="226">
        <v>14</v>
      </c>
      <c r="I600" s="226">
        <v>78</v>
      </c>
      <c r="J600" s="226">
        <v>76</v>
      </c>
      <c r="K600" s="226">
        <v>0</v>
      </c>
      <c r="L600" s="215" t="s">
        <v>1073</v>
      </c>
      <c r="M600" s="215">
        <v>6111009700</v>
      </c>
    </row>
    <row r="601" spans="1:13" ht="63" thickBot="1" x14ac:dyDescent="0.35">
      <c r="A601" s="215"/>
      <c r="B601" s="224">
        <v>45058</v>
      </c>
      <c r="C601" s="226">
        <v>1365</v>
      </c>
      <c r="D601" s="226">
        <v>1450</v>
      </c>
      <c r="E601" s="226">
        <v>2</v>
      </c>
      <c r="F601" s="225"/>
      <c r="G601" s="215" t="s">
        <v>1222</v>
      </c>
      <c r="H601" s="226">
        <v>2729</v>
      </c>
      <c r="I601" s="226">
        <v>2900</v>
      </c>
      <c r="J601" s="226">
        <v>2702</v>
      </c>
      <c r="K601" s="226">
        <v>1</v>
      </c>
      <c r="L601" s="215" t="s">
        <v>1063</v>
      </c>
      <c r="M601" s="215" t="s">
        <v>1288</v>
      </c>
    </row>
    <row r="602" spans="1:13" ht="90.75" customHeight="1" thickBot="1" x14ac:dyDescent="0.35">
      <c r="A602" s="215" t="s">
        <v>63</v>
      </c>
      <c r="B602" s="215" t="s">
        <v>739</v>
      </c>
      <c r="C602" s="227">
        <f>H602/E602</f>
        <v>3672.5545617173525</v>
      </c>
      <c r="D602" s="227">
        <f>I602/E602</f>
        <v>3822.5247465712582</v>
      </c>
      <c r="E602" s="226">
        <f>SUM(E8:E601)</f>
        <v>1677</v>
      </c>
      <c r="F602" s="225" t="s">
        <v>1289</v>
      </c>
      <c r="G602" s="215" t="s">
        <v>133</v>
      </c>
      <c r="H602" s="226">
        <f>SUM(H8:H601)</f>
        <v>6158874</v>
      </c>
      <c r="I602" s="226">
        <f>SUM(I8:I601)</f>
        <v>6410374</v>
      </c>
      <c r="J602" s="226">
        <f>SUM(J8:J601)</f>
        <v>5865457</v>
      </c>
      <c r="K602" s="226">
        <f>SUM(K8:K601)</f>
        <v>625</v>
      </c>
      <c r="L602" s="215" t="s">
        <v>1290</v>
      </c>
      <c r="M602" s="215" t="s">
        <v>133</v>
      </c>
    </row>
    <row r="606" spans="1:13" ht="15.75" customHeight="1" x14ac:dyDescent="0.3">
      <c r="B606" s="1"/>
    </row>
    <row r="607" spans="1:13" ht="15.75" customHeight="1" x14ac:dyDescent="0.3">
      <c r="B607" s="1"/>
    </row>
    <row r="608" spans="1:13" ht="15.75" customHeight="1" x14ac:dyDescent="0.3">
      <c r="B608" s="1"/>
      <c r="D608" s="26"/>
    </row>
    <row r="610" spans="2:4" ht="15.75" customHeight="1" x14ac:dyDescent="0.3">
      <c r="B610" s="1"/>
      <c r="D610" s="26"/>
    </row>
  </sheetData>
  <printOptions horizontalCentered="1"/>
  <pageMargins left="0.7" right="0.7" top="0.75" bottom="0.75" header="0.3" footer="0.3"/>
  <pageSetup paperSize="3"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20</vt:i4>
      </vt:variant>
      <vt:variant>
        <vt:lpstr>Named Ranges</vt:lpstr>
      </vt:variant>
      <vt:variant>
        <vt:i4>34</vt:i4>
      </vt:variant>
    </vt:vector>
  </HeadingPairs>
  <TitlesOfParts>
    <vt:vector size="54" baseType="lpstr">
      <vt:lpstr>Overview and Directions</vt:lpstr>
      <vt:lpstr>PGnE Calculations</vt:lpstr>
      <vt:lpstr>PGnE NPV Calc Details</vt:lpstr>
      <vt:lpstr>PGnE Costs Data</vt:lpstr>
      <vt:lpstr>PGnE Pressure Districts</vt:lpstr>
      <vt:lpstr>SoCalGas Calculations</vt:lpstr>
      <vt:lpstr>SoCalGas NPV Calc Details</vt:lpstr>
      <vt:lpstr>SoCalGas Costs Data</vt:lpstr>
      <vt:lpstr>SCG PressureDistricts</vt:lpstr>
      <vt:lpstr>SDGE Calculations</vt:lpstr>
      <vt:lpstr>SDGE NPV Calc Details</vt:lpstr>
      <vt:lpstr>SDGE Costs Data</vt:lpstr>
      <vt:lpstr>SDGE Pressure Districts</vt:lpstr>
      <vt:lpstr>SWG Calculations</vt:lpstr>
      <vt:lpstr>SWG NPV Calc Details</vt:lpstr>
      <vt:lpstr>SWG Costs Data</vt:lpstr>
      <vt:lpstr>Drop-Down Menus</vt:lpstr>
      <vt:lpstr>Charts</vt:lpstr>
      <vt:lpstr>Definitions</vt:lpstr>
      <vt:lpstr>Definitions of Other Misc Costs</vt:lpstr>
      <vt:lpstr>'PGnE Costs Data'!_ftn1</vt:lpstr>
      <vt:lpstr>'SDGE Costs Data'!_ftn1</vt:lpstr>
      <vt:lpstr>'SoCalGas Costs Data'!_ftn1</vt:lpstr>
      <vt:lpstr>'PGnE Costs Data'!_ftn2</vt:lpstr>
      <vt:lpstr>'SDGE Costs Data'!_ftn2</vt:lpstr>
      <vt:lpstr>'SoCalGas Costs Data'!_ftn2</vt:lpstr>
      <vt:lpstr>'SWG Costs Data'!_ftn2</vt:lpstr>
      <vt:lpstr>Definitions!_ftn4</vt:lpstr>
      <vt:lpstr>Definitions!_ftn5</vt:lpstr>
      <vt:lpstr>Definitions!_ftn6</vt:lpstr>
      <vt:lpstr>Definitions!_ftn7</vt:lpstr>
      <vt:lpstr>'PGnE Calculations'!_ftnref1</vt:lpstr>
      <vt:lpstr>'PGnE Costs Data'!_ftnref1</vt:lpstr>
      <vt:lpstr>'SDGE Calculations'!_ftnref1</vt:lpstr>
      <vt:lpstr>'SDGE Costs Data'!_ftnref1</vt:lpstr>
      <vt:lpstr>'SoCalGas Calculations'!_ftnref1</vt:lpstr>
      <vt:lpstr>'SoCalGas Costs Data'!_ftnref1</vt:lpstr>
      <vt:lpstr>'SWG Calculations'!_ftnref1</vt:lpstr>
      <vt:lpstr>Definitions!_ftnref10</vt:lpstr>
      <vt:lpstr>Definitions!_ftnref11</vt:lpstr>
      <vt:lpstr>'PGnE Costs Data'!_ftnref2</vt:lpstr>
      <vt:lpstr>'SDGE Costs Data'!_ftnref2</vt:lpstr>
      <vt:lpstr>'SoCalGas Costs Data'!_ftnref2</vt:lpstr>
      <vt:lpstr>Definitions!_ftnref3</vt:lpstr>
      <vt:lpstr>Definitions!_ftnref4</vt:lpstr>
      <vt:lpstr>Definitions!_ftnref5</vt:lpstr>
      <vt:lpstr>Definitions!_ftnref6</vt:lpstr>
      <vt:lpstr>Definitions!_ftnref7</vt:lpstr>
      <vt:lpstr>Definitions!_ftnref8</vt:lpstr>
      <vt:lpstr>Definitions!_ftnref9</vt:lpstr>
      <vt:lpstr>'SCG PressureDistricts'!Print_Area</vt:lpstr>
      <vt:lpstr>'SDGE Costs Data'!Print_Area</vt:lpstr>
      <vt:lpstr>'SDGE Pressure Districts'!Print_Area</vt:lpstr>
      <vt:lpstr>'SoCalGas Costs Data'!Print_Area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Hlavka, Eileen</dc:creator>
  <cp:keywords/>
  <dc:description/>
  <cp:lastModifiedBy>Hlavka, Eileen</cp:lastModifiedBy>
  <cp:revision/>
  <dcterms:created xsi:type="dcterms:W3CDTF">2025-09-03T18:53:20Z</dcterms:created>
  <dcterms:modified xsi:type="dcterms:W3CDTF">2026-08-25T18:40:14Z</dcterms:modified>
  <cp:category/>
  <cp:contentStatus/>
</cp:coreProperties>
</file>