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mpra-my.sharepoint.com/personal/rpisaneschi_sdge_com/Documents/Desktop/SB1221 Data Ruling/"/>
    </mc:Choice>
  </mc:AlternateContent>
  <xr:revisionPtr revIDLastSave="5" documentId="8_{999E9A52-E3AE-4F12-9E63-65B2A8BA161E}" xr6:coauthVersionLast="47" xr6:coauthVersionMax="47" xr10:uidLastSave="{7B66EA85-758C-494E-8605-6D09775E4D14}"/>
  <bookViews>
    <workbookView xWindow="-120" yWindow="-120" windowWidth="51840" windowHeight="21120" xr2:uid="{79446AAD-70E6-4E1D-B48D-92C43DFA041E}"/>
  </bookViews>
  <sheets>
    <sheet name="Summary" sheetId="2" r:id="rId1"/>
    <sheet name="Costs by Operating District" sheetId="4" r:id="rId2"/>
    <sheet name="Utility-Wide Costs by Program" sheetId="7" r:id="rId3"/>
    <sheet name="Directions" sheetId="12" r:id="rId4"/>
    <sheet name="Definitions" sheetId="1" r:id="rId5"/>
    <sheet name="Definitions of Other Misc Costs" sheetId="10" r:id="rId6"/>
  </sheets>
  <definedNames>
    <definedName name="_ftn1" localSheetId="1">'Costs by Operating District'!$A$14</definedName>
    <definedName name="_ftn1" localSheetId="5">'Definitions of Other Misc Costs'!#REF!</definedName>
    <definedName name="_ftn1" localSheetId="0">Summary!$A$14</definedName>
    <definedName name="_ftn1" localSheetId="2">'Utility-Wide Costs by Program'!#REF!</definedName>
    <definedName name="_ftn2" localSheetId="1">'Costs by Operating District'!$A$15</definedName>
    <definedName name="_ftn2" localSheetId="5">'Definitions of Other Misc Costs'!#REF!</definedName>
    <definedName name="_ftn2" localSheetId="0">Summary!$A$15</definedName>
    <definedName name="_ftn2" localSheetId="2">'Utility-Wide Costs by Program'!#REF!</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0">Summary!$E$3</definedName>
    <definedName name="_ftnref1" localSheetId="2">'Utility-Wide Costs by Program'!$E$3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0">Summary!$E$7</definedName>
    <definedName name="_ftnref2" localSheetId="2">'Utility-Wide Costs by Program'!#REF!</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xlnm.Print_Area" localSheetId="1">'Costs by Operating District'!$A$1:$K$31</definedName>
    <definedName name="_xlnm.Print_Area" localSheetId="4">Definitions!$B$1:$B$40</definedName>
    <definedName name="_xlnm.Print_Area" localSheetId="5">'Definitions of Other Misc Costs'!$A$1:$C$7</definedName>
    <definedName name="_xlnm.Print_Area" localSheetId="3">Directions!$B$1:$B$8</definedName>
    <definedName name="_xlnm.Print_Area" localSheetId="0">Summary!$A$1:$E$18</definedName>
    <definedName name="_xlnm.Print_Area" localSheetId="2">'Utility-Wide Costs by Program'!$A$1:$K$23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H15" i="4"/>
  <c r="G15" i="4"/>
  <c r="F15" i="4"/>
  <c r="E15" i="4"/>
  <c r="I14" i="4"/>
  <c r="H14" i="4"/>
  <c r="G14" i="4"/>
  <c r="F14" i="4"/>
  <c r="E14" i="4"/>
  <c r="I6" i="4" l="1"/>
  <c r="H6" i="4"/>
  <c r="G6" i="4"/>
  <c r="F6" i="4"/>
  <c r="E6" i="4"/>
  <c r="I22" i="4"/>
  <c r="H22" i="4"/>
  <c r="G22" i="4"/>
  <c r="F22" i="4"/>
  <c r="E22" i="4"/>
  <c r="I21" i="4"/>
  <c r="H21" i="4"/>
  <c r="G21" i="4"/>
  <c r="F21" i="4"/>
  <c r="E21" i="4"/>
  <c r="I20" i="4"/>
  <c r="H20" i="4"/>
  <c r="G20" i="4"/>
  <c r="F20" i="4"/>
  <c r="E20" i="4"/>
  <c r="I19" i="4"/>
  <c r="H19" i="4"/>
  <c r="G19" i="4"/>
  <c r="F19" i="4"/>
  <c r="E19" i="4"/>
  <c r="I14" i="7"/>
  <c r="H14" i="7"/>
  <c r="G14" i="7"/>
  <c r="F14" i="7"/>
  <c r="E14" i="7"/>
  <c r="I13" i="7"/>
  <c r="H13" i="7"/>
  <c r="G13" i="7"/>
  <c r="F13" i="7"/>
  <c r="E13" i="7"/>
  <c r="I12" i="7"/>
  <c r="H12" i="7"/>
  <c r="G12" i="7"/>
  <c r="F12" i="7"/>
  <c r="E12" i="7"/>
  <c r="I11" i="7"/>
  <c r="H11" i="7"/>
  <c r="G11" i="7"/>
  <c r="F11" i="7"/>
  <c r="E11" i="7"/>
  <c r="E9" i="7" l="1"/>
  <c r="E3" i="4" l="1"/>
  <c r="F3" i="4"/>
  <c r="H2" i="4"/>
  <c r="I2" i="4"/>
  <c r="I9" i="7"/>
  <c r="I3" i="7" s="1"/>
  <c r="I4" i="7"/>
  <c r="K17" i="7"/>
  <c r="K16" i="7"/>
  <c r="K15" i="7"/>
  <c r="K14" i="7"/>
  <c r="K13" i="7"/>
  <c r="K12" i="7"/>
  <c r="K11" i="7"/>
  <c r="K5" i="7"/>
  <c r="K6" i="7"/>
  <c r="K4" i="7" s="1"/>
  <c r="H7" i="7"/>
  <c r="G7" i="7"/>
  <c r="F8" i="7"/>
  <c r="H8" i="7"/>
  <c r="G8" i="7"/>
  <c r="F7" i="7"/>
  <c r="K24" i="4"/>
  <c r="K23" i="4"/>
  <c r="D10" i="2" s="1"/>
  <c r="K22" i="4"/>
  <c r="K21" i="4"/>
  <c r="K20" i="4"/>
  <c r="K19" i="4"/>
  <c r="K16" i="4"/>
  <c r="K15" i="4"/>
  <c r="K14" i="4"/>
  <c r="K13" i="4"/>
  <c r="D6" i="2" s="1"/>
  <c r="K8" i="4"/>
  <c r="K7" i="4"/>
  <c r="K5" i="4"/>
  <c r="K4" i="4"/>
  <c r="D7" i="2" s="1"/>
  <c r="G2" i="4"/>
  <c r="G9" i="7"/>
  <c r="H9" i="7"/>
  <c r="G4" i="7"/>
  <c r="F17" i="4"/>
  <c r="F11" i="4" s="1"/>
  <c r="G17" i="4"/>
  <c r="G11" i="4" s="1"/>
  <c r="H17" i="4"/>
  <c r="H10" i="4" s="1"/>
  <c r="I17" i="4"/>
  <c r="I10" i="4" s="1"/>
  <c r="G3" i="4"/>
  <c r="G12" i="4"/>
  <c r="H12" i="4"/>
  <c r="I12" i="4"/>
  <c r="E17" i="4"/>
  <c r="D11" i="2"/>
  <c r="F12" i="4"/>
  <c r="E12" i="4"/>
  <c r="F9" i="7"/>
  <c r="F4" i="7"/>
  <c r="H4" i="7"/>
  <c r="E4" i="7"/>
  <c r="I3" i="4"/>
  <c r="E2" i="4"/>
  <c r="F2" i="4"/>
  <c r="K6" i="4"/>
  <c r="H3" i="4"/>
  <c r="E11" i="4" l="1"/>
  <c r="K17" i="4"/>
  <c r="K9" i="7"/>
  <c r="K2" i="7" s="1"/>
  <c r="F2" i="7"/>
  <c r="F3" i="7"/>
  <c r="H2" i="7"/>
  <c r="H3" i="7"/>
  <c r="G2" i="7"/>
  <c r="G3" i="7"/>
  <c r="E3" i="7"/>
  <c r="E2" i="7"/>
  <c r="I2" i="7"/>
  <c r="K12" i="4"/>
  <c r="K3" i="4"/>
  <c r="K2" i="4"/>
  <c r="D3" i="2" s="1"/>
  <c r="D5" i="2"/>
  <c r="H11" i="4"/>
  <c r="F10" i="4"/>
  <c r="I11" i="4"/>
  <c r="K7" i="7"/>
  <c r="K8" i="7"/>
  <c r="E10" i="4"/>
  <c r="G10" i="4"/>
  <c r="K3" i="7" l="1"/>
  <c r="D8" i="2"/>
  <c r="K10" i="4"/>
  <c r="D2" i="2" s="1"/>
  <c r="K11" i="4"/>
  <c r="D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tc={3D6B4F96-D81D-4270-8044-973899D664A8}</author>
  </authors>
  <commentList>
    <comment ref="B16" authorId="0" shapeId="0" xr:uid="{3D6B4F96-D81D-4270-8044-973899D664A8}">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<sst xmlns="http://schemas.openxmlformats.org/spreadsheetml/2006/main" count="296" uniqueCount="206">
  <si>
    <t>Row ID</t>
  </si>
  <si>
    <t>Program Category</t>
  </si>
  <si>
    <t>Row Name</t>
  </si>
  <si>
    <t>Value</t>
  </si>
  <si>
    <t>Definition [3]</t>
  </si>
  <si>
    <t>A1</t>
  </si>
  <si>
    <t>Main and service replacement programs</t>
  </si>
  <si>
    <t>Cost per service, for main programs</t>
  </si>
  <si>
    <t>Average cost of gas distribution main and service replacement activities, per service. Also shown in next table, row B8, final column.</t>
  </si>
  <si>
    <t>A2</t>
  </si>
  <si>
    <t>Service-only replacement programs [4]</t>
  </si>
  <si>
    <t>Cost per service replaced, for services only</t>
  </si>
  <si>
    <t xml:space="preserve">Average cost of replacing gas distribution services only.[1]  Also shown in next table, row B1, final column. </t>
  </si>
  <si>
    <t>A3</t>
  </si>
  <si>
    <t>Cost per main mile replaced</t>
  </si>
  <si>
    <t>Average cost of gas distribution main and service replacement activities, per mile of main. Also shown in next table, row B9, final column.</t>
  </si>
  <si>
    <t>A4</t>
  </si>
  <si>
    <t>Services per project, for main programs</t>
  </si>
  <si>
    <t>Average number of services in a single work order.  Also shown in next table, row B10, final column.</t>
  </si>
  <si>
    <t>A5</t>
  </si>
  <si>
    <t>Main program projects per year</t>
  </si>
  <si>
    <t>Average work orders per year, totaled across the utility’s main and service replacement programs. Also shown in next table, row B11, final column.</t>
  </si>
  <si>
    <t>A6</t>
  </si>
  <si>
    <t>Service-only replacement programs</t>
  </si>
  <si>
    <t>Services replaced per year, when services only</t>
  </si>
  <si>
    <t>Average number of services replaced by service-only replacement programs.[2] Also shown in next table, row B3, final column.</t>
  </si>
  <si>
    <t>A7</t>
  </si>
  <si>
    <t>Both main and service and service-only replacement programs</t>
  </si>
  <si>
    <t>Annual pipeline replacement expenditures</t>
  </si>
  <si>
    <t>Total cost across gas distribution replacement programs. Sum of next table’s B5 and B15, final column.</t>
  </si>
  <si>
    <t>A8</t>
  </si>
  <si>
    <t>NA</t>
  </si>
  <si>
    <t>Maintenance cost per service [5]</t>
  </si>
  <si>
    <r>
      <t>Average cost of gas distribution pipeline maintenance</t>
    </r>
    <r>
      <rPr>
        <sz val="12"/>
        <color rgb="FF000000"/>
        <rFont val="Book Antiqua"/>
        <family val="1"/>
      </rPr>
      <t>, per service, not including replacement costs. Also shown in later table, cell G1.</t>
    </r>
  </si>
  <si>
    <t>A9</t>
  </si>
  <si>
    <t>Project planning period, for main programs</t>
  </si>
  <si>
    <r>
      <rPr>
        <sz val="12"/>
        <color rgb="FF000000"/>
        <rFont val="Book Antiqua"/>
      </rPr>
      <t>Average days between the date that the project was identified for replacement and the date that replacement activities broke ground. Also shown in next t</t>
    </r>
    <r>
      <rPr>
        <sz val="12"/>
        <rFont val="Book Antiqua"/>
        <family val="1"/>
      </rPr>
      <t>able, row B21</t>
    </r>
    <r>
      <rPr>
        <sz val="12"/>
        <color rgb="FF000000"/>
        <rFont val="Book Antiqua"/>
      </rPr>
      <t>, final column.</t>
    </r>
  </si>
  <si>
    <t>A10</t>
  </si>
  <si>
    <t>Project planning period, for services only</t>
  </si>
  <si>
    <t>Average days between the date that the service(s) was identified for replacement and the date that replacement activities broke ground. Also shown in next table, row B6, final column.</t>
  </si>
  <si>
    <t>[1]  [Note: Footnote From Template] Programs which replace both mains and services sometimes replace services alone, but including those projects would be more challenging to include in this calculation.</t>
  </si>
  <si>
    <t xml:space="preserve">[2]  [Note: Footnote From Template] Note this will be less than the total services replaced annually because mains and services programs can also includes projects which only replace services.  However, it would be more challenging to include those in this calculation. </t>
  </si>
  <si>
    <t xml:space="preserve">[3] All values are calculated as defined in the "Definition" column for every field that includes a cell calculation or equivalent field in "Definition."	</t>
  </si>
  <si>
    <t xml:space="preserve">[4] Because SDG&amp;E does not have service-only programs, costs may also include activities related to main replacements.
 </t>
  </si>
  <si>
    <t>[5] Maintenance costs include activity codes for O&amp;M Maintenance [MAT Codes: Leak Survey 670,672,671,673 :  CP:603,604,631,633,658,659 Pipeline Ops: 744, and all leak repair orders] District" All O&amp;M leak repairs].  Included damage prevention mark-out costs from FERC 874.3 and 874.31 on Damage Prevention cost centers.</t>
  </si>
  <si>
    <t>Definition [5]</t>
  </si>
  <si>
    <t xml:space="preserve">North Coast </t>
  </si>
  <si>
    <t xml:space="preserve">Northeast </t>
  </si>
  <si>
    <t xml:space="preserve">Metro </t>
  </si>
  <si>
    <t xml:space="preserve">Beach Cities </t>
  </si>
  <si>
    <t xml:space="preserve">Eastern </t>
  </si>
  <si>
    <t>…</t>
  </si>
  <si>
    <t xml:space="preserve">Totals or Averages Across All Operating Districts </t>
  </si>
  <si>
    <t>B1</t>
  </si>
  <si>
    <t xml:space="preserve">Average cost of replacing gas distribution services only.[1]  Calculated by dividing B5 by B3. </t>
  </si>
  <si>
    <t>B2</t>
  </si>
  <si>
    <t>Cost per service mile replaced, for services only</t>
  </si>
  <si>
    <t>Average cost of service-only replacement activities, per mile of main. Calculated by dividing B5 by B4.</t>
  </si>
  <si>
    <t>B3</t>
  </si>
  <si>
    <t>Average number of services replaced by service-only replacement programs.[2]</t>
  </si>
  <si>
    <t>B4</t>
  </si>
  <si>
    <t>Service-only replacement programs[4]</t>
  </si>
  <si>
    <t>Service miles replaced, when services only</t>
  </si>
  <si>
    <t>Total miles of service replaced by service-only replacement programs.</t>
  </si>
  <si>
    <t>B5</t>
  </si>
  <si>
    <t>Total costs, for service-only programs</t>
  </si>
  <si>
    <t>Total costs of service-only replacement programs. Calculated by summing costs for service-only replacement program work orders using cost definitions for the four cost groups “Internal Labor and Related Costs,” “External Labor and Related Costs,” “Materials,” and “Other Misc Costs.”</t>
  </si>
  <si>
    <t>B6</t>
  </si>
  <si>
    <t>Average days between the date that the service(s) was identified for replacement and the date that replacement activities broke ground.</t>
  </si>
  <si>
    <t>B7</t>
  </si>
  <si>
    <t>Project time to completion, for services only</t>
  </si>
  <si>
    <t>Average days between the date that the project was identified for replacement and the date that the replaced service(s) was placed in operation.</t>
  </si>
  <si>
    <t>[skip row]</t>
  </si>
  <si>
    <t>B8</t>
  </si>
  <si>
    <t>Average cost of gas distribution main and service replacement activities, per service. Calculated by dividing B15 by B12.</t>
  </si>
  <si>
    <t>B9</t>
  </si>
  <si>
    <t>Average cost of gas distribution main and service replacement activities, per mile of main. Calculated by dividing B15 by B13.</t>
  </si>
  <si>
    <t>B10</t>
  </si>
  <si>
    <r>
      <t xml:space="preserve">Average number of services in a single work order.  Calculated by dividing B12 by B11. </t>
    </r>
    <r>
      <rPr>
        <sz val="8"/>
        <rFont val="Book Antiqua"/>
        <family val="1"/>
      </rPr>
      <t> </t>
    </r>
  </si>
  <si>
    <t>B11</t>
  </si>
  <si>
    <t>Main and service replacement programs [3]</t>
  </si>
  <si>
    <t>Average work orders per year, totaled across the utility’s main and service replacement programs.</t>
  </si>
  <si>
    <t>B12</t>
  </si>
  <si>
    <t>Services addressed by main programs</t>
  </si>
  <si>
    <t xml:space="preserve">Total services connected to mains replaced by main and service replacement programs, whether or not the service was replaced by the project. </t>
  </si>
  <si>
    <t>B13</t>
  </si>
  <si>
    <t>Main miles replaced</t>
  </si>
  <si>
    <t>Total miles of main replaced by main and service replacement program work orders.</t>
  </si>
  <si>
    <t>B14</t>
  </si>
  <si>
    <t>Service miles replaced, for main programs</t>
  </si>
  <si>
    <t>Total miles of service replaced by main and service replacement program work orders.</t>
  </si>
  <si>
    <t>B15</t>
  </si>
  <si>
    <t>Total costs, for main programs</t>
  </si>
  <si>
    <r>
      <t>Total costs of main and service replacement program work orders. Calculated by summing B17, B18, B19 and B20.</t>
    </r>
    <r>
      <rPr>
        <i/>
        <sz val="12"/>
        <rFont val="Book Antiqua"/>
        <family val="1"/>
      </rPr>
      <t xml:space="preserve"> </t>
    </r>
  </si>
  <si>
    <t>B16</t>
  </si>
  <si>
    <t>Cost Group</t>
  </si>
  <si>
    <t>B17</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</si>
  <si>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</si>
  <si>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</si>
  <si>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B18</t>
  </si>
  <si>
    <t>External Labor and Related Costs</t>
  </si>
  <si>
    <t>Combine “external labor” and contracts costs.  Includes contracts for services and for employees.  Include equipment rental here.</t>
  </si>
  <si>
    <t>B19</t>
  </si>
  <si>
    <t>Materials</t>
  </si>
  <si>
    <t>Cost of pipe, valves, fittings, regulators, and other materials installed at the project.</t>
  </si>
  <si>
    <t>B20</t>
  </si>
  <si>
    <t>Other Misc Costs</t>
  </si>
  <si>
    <t xml:space="preserve">Sum of costs in the cost categories “Fleet,” “Permitting,” “AFUDC,” “Land,” “Other,” and “Administrative &amp; General Costs” as defined in “Definitions of Other Misc Costs.” </t>
  </si>
  <si>
    <t>B21</t>
  </si>
  <si>
    <t>Average days between the date that the project was identified for replacement and the date that replacement activities broke ground.</t>
  </si>
  <si>
    <t>B22</t>
  </si>
  <si>
    <t>Project time to completion, for main programs</t>
  </si>
  <si>
    <t>Average days between the date that the project was identified for replacement and the date that the replacement equipment was placed in operation.</t>
  </si>
  <si>
    <t>[1]  [Note: Footnote From Template] Programs which replace both mains and services sometimes replace services alone, but including those projects would be onerous to include in this calculation.</t>
  </si>
  <si>
    <t xml:space="preserve">[2]  [Note: Footnote From Template] Note this will be an undercount because mains and services programs can also includes projects which only replace services.  However, it would be more challenging to include those in this calculation. </t>
  </si>
  <si>
    <t>[3] Budget Codes: 508- Gas Distribution Leak Repair Unplanned, 514- RAMP Vintage Steel Replacement (1965-present), 19564- RAMP Vintage Steel Replacement (1934 to 1964), 19565- RAMP Vintage Steel Replacement (1933 and older), 546 DIMP.</t>
  </si>
  <si>
    <t>[4] Budget Codes: 551 with Notification Description of CP 10 and 19563 for DCRR jobs.</t>
  </si>
  <si>
    <t xml:space="preserve">[5] All values are calculated as defined in the "Definition" column for every field that includes a cell calculation or equivalent field in "Definition."	</t>
  </si>
  <si>
    <t>Definition [4]</t>
  </si>
  <si>
    <t xml:space="preserve">Gas Distribution Leak Repair- Unplanned (BC 508) </t>
  </si>
  <si>
    <t xml:space="preserve">RAMP- Vintage Steel Replacement (1965-present) (BC 514) </t>
  </si>
  <si>
    <t xml:space="preserve">RAMP- Vintage Steel Replacement (1934 to 1964) (BC 19564) </t>
  </si>
  <si>
    <t xml:space="preserve">RAMP- Vintage Steel Replacement (1933 and older) (BC 19565) </t>
  </si>
  <si>
    <t xml:space="preserve">546 DIMP </t>
  </si>
  <si>
    <t>Totals or Averages Across All Programs</t>
  </si>
  <si>
    <t>C1</t>
  </si>
  <si>
    <t>Average cost of gas distribution main and service replacement activities, per service. Calculated by dividing C8 by C5.</t>
  </si>
  <si>
    <t>C2</t>
  </si>
  <si>
    <t>Average cost of gas distribution main and service replacement activities, per mile of main. Calculated by dividing C8 by C6.</t>
  </si>
  <si>
    <t>C3</t>
  </si>
  <si>
    <t xml:space="preserve">Average number of services in a single work order.  Calculated by dividing C5 by C4. </t>
  </si>
  <si>
    <t>C4</t>
  </si>
  <si>
    <t>Average work orders per year, totalled across the utility’s main and service replacement programs.</t>
  </si>
  <si>
    <t>C5</t>
  </si>
  <si>
    <t>C6</t>
  </si>
  <si>
    <t>C7</t>
  </si>
  <si>
    <t>C8</t>
  </si>
  <si>
    <r>
      <rPr>
        <sz val="12"/>
        <color rgb="FF000000"/>
        <rFont val="Book Antiqua"/>
        <family val="1"/>
      </rPr>
      <t>Total costs of main and service replacement program work orders. Calculated by summing C9, C10, C11, and C12.</t>
    </r>
    <r>
      <rPr>
        <i/>
        <sz val="12"/>
        <color rgb="FF000000"/>
        <rFont val="Book Antiqua"/>
        <family val="1"/>
      </rPr>
      <t xml:space="preserve"> </t>
    </r>
  </si>
  <si>
    <t>C9</t>
  </si>
  <si>
    <t>C10</t>
  </si>
  <si>
    <t>C11</t>
  </si>
  <si>
    <t>C12</t>
  </si>
  <si>
    <t>C13</t>
  </si>
  <si>
    <t>Costs Excluded from Budget Code</t>
  </si>
  <si>
    <t>Include any and all costs that are recorded within C9, C10, C11 or C12 and are not recorded within the program's budget code for rate case purposes. For example, this may include field capital support for some utilities. Thus, this total, if not zero, will overlap with the cost categories shown above.</t>
  </si>
  <si>
    <t>C14</t>
  </si>
  <si>
    <t>C15</t>
  </si>
  <si>
    <t xml:space="preserve">[4] All values are calculated as defined in the "Definition" column for every field that includes a cell calculation or equivalent field in "Definition."				</t>
  </si>
  <si>
    <t>Summary</t>
  </si>
  <si>
    <r>
      <rPr>
        <sz val="13"/>
        <color rgb="FF000000"/>
        <rFont val="Book Antiqua"/>
        <family val="1"/>
      </rPr>
      <t>a.</t>
    </r>
    <r>
      <rPr>
        <sz val="7"/>
        <color rgb="FF000000"/>
        <rFont val="Times New Roman"/>
        <family val="1"/>
      </rPr>
      <t xml:space="preserve">    </t>
    </r>
    <r>
      <rPr>
        <sz val="13"/>
        <color rgb="FF000000"/>
        <rFont val="Book Antiqua"/>
        <family val="1"/>
      </rPr>
      <t>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the years; and in the fifth column, provide the Definition, as shown.</t>
    </r>
  </si>
  <si>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</si>
  <si>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 For each row, include only information for the programs specified in the “Program Category." 
Values for B8 through B15 in the last column should match with values for C1 througch C8 in the last column in the tab “Utility-Wide Costs by Program.”</t>
  </si>
  <si>
    <t>Utility-Wide Costs by Program</t>
  </si>
  <si>
    <t xml:space="preserve">c.   	In the tab, “Utility-Wide Costs by Program,” provide the program accomplishments and costs shown (rows), broken down by programs (columns).  In the first four columns, provide the Row ID, Program Category, Row Name and Definition, as shown.  Next provide a column for each program, and in it, include only the information for work orders in that program.  Include all the costs for work orders associated with the program, even if these costs are not recorded under the work order or program.  In the last column, provide the information across all programs (totals unless definition is an average, in which case provide average across all programs shown in preceding columns). </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</si>
  <si>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</si>
  <si>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</si>
  <si>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</si>
  <si>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</si>
  <si>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</si>
  <si>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</si>
  <si>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</si>
  <si>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</si>
  <si>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</si>
  <si>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</si>
  <si>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xml:space="preserve">                                              iii.     Southwest Gas: Customer-Owned Yard Line Program (school and non-school locations)  </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</si>
  <si>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</si>
  <si>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</si>
  <si>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</si>
  <si>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</si>
  <si>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</si>
  <si>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</si>
  <si>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</si>
  <si>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</si>
  <si>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</si>
  <si>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</si>
  <si>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</si>
  <si>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</si>
  <si>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</si>
  <si>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</si>
  <si>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</si>
  <si>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</si>
  <si>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t xml:space="preserve">[1] Workpaper includes these codes within work group 252. Southern California Gas Company, submitted in SoCalGas General Rate Case A.22-05-015 for years 2024-2027, Work Unit/Activity Level Estimates, SCG-04-CWP-R_Mario_Aguirre-Gas_Distribution_49456.pdf, pp. 45 &amp;ff. </t>
  </si>
  <si>
    <t>[2] Driscopipe 7000 was installed in 1974-1980. See Prepared Direct Testimony of Kevin Lang on behalf of Southwest Gas Corporation, submitted in Southwest Gas General Rate Case A.22-05-015, August 2019, https://docs.cpuc.ca.gov/PublishedDocs/SupDoc/A1908015/2695/338276400.pdf, p. 5.</t>
  </si>
  <si>
    <t>[3] Consistent definitions were used for Operating District in Gas System Census Tract Data, filed by gas utilities in response to Administrative Law Judge’s Ruling Seeking Data from Gas Utilities in R.24-09-012, January 13, 14, and 17, 2024, posted on the CPUC’s R.24-09-012 webpage, https://www.cpuc.ca.gov/industries-and-topics/natural-gas/long-term-gas-planning-rulemaking. See definitions in Administrative Law Judge’s Ruling Seeking Revised Data from Gas Utilities 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</si>
  <si>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</si>
  <si>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</si>
  <si>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</si>
  <si>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</si>
  <si>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t xml:space="preserve">[8] Pressure districts are also discussed in Recommendations for SB 1221 California Natural Gas System Mapping, CPUC Energy Division Staff Proposal, February 20, 2025, https://docs.cpuc.ca.gov/PublishedDocs/Efile/G000/M556/K897/556897432.PDF, p. 15.  For additional background on pressure zones, see DeWitte, Tom and Coolidge, Tom, Understanding Pressure Zones, April 2024, https://community.esri.com/t5/gas-and-pipeline-blog/understanding-pressure-zones/ba-p/1416830. </t>
  </si>
  <si>
    <t xml:space="preserve">[9]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</si>
  <si>
    <t xml:space="preserve">[10] Recommendations for SB 1221 California Natural Gas System Mapping, p. 15. See also Gas System Census Tract Data Notes, filed by PG&amp;E in response to Administrative Law Judge’s Ruling Seeking Data from Gas Utilities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</si>
  <si>
    <t>[11]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Direction to Utilities Draft for Comment,  https://docs.cpuc.ca.gov/PublishedDocs/Efile/G000/M556/K897/556897318.PDF. Transmission-level regulator stations are not included.</t>
  </si>
  <si>
    <t>Cost Category</t>
  </si>
  <si>
    <t>Definition</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</si>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</sst>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_(&quot;$&quot;* #,##0.000_);_(&quot;$&quot;* \(#,##0.000\);_(&quot;$&quot;* &quot;-&quot;??_);_(@_)"/>
  </numFmts>
  <fonts count="29"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i/>
      <sz val="13"/>
      <color theme="1"/>
      <name val="Times New Roman"/>
      <family val="1"/>
    </font>
    <font>
      <sz val="11"/>
      <name val="Book Antiqua"/>
      <family val="1"/>
    </font>
    <font>
      <i/>
      <sz val="12"/>
      <color rgb="FF000000"/>
      <name val="Book Antiqua"/>
      <family val="1"/>
    </font>
    <font>
      <sz val="13"/>
      <color rgb="FF000000"/>
      <name val="Book Antiqua"/>
      <family val="1"/>
    </font>
    <font>
      <sz val="7"/>
      <color rgb="FF000000"/>
      <name val="Times New Roman"/>
      <family val="1"/>
    </font>
    <font>
      <sz val="11"/>
      <color theme="1"/>
      <name val="Aptos Narrow"/>
      <family val="2"/>
      <scheme val="minor"/>
    </font>
    <font>
      <b/>
      <sz val="12"/>
      <name val="Book Antiqua"/>
      <family val="1"/>
    </font>
    <font>
      <sz val="12"/>
      <name val="Book Antiqua"/>
      <family val="1"/>
    </font>
    <font>
      <i/>
      <sz val="12"/>
      <name val="Book Antiqua"/>
      <family val="1"/>
    </font>
    <font>
      <u/>
      <sz val="11"/>
      <name val="Aptos Narrow"/>
      <family val="2"/>
      <scheme val="minor"/>
    </font>
    <font>
      <sz val="8"/>
      <name val="Book Antiqua"/>
      <family val="1"/>
    </font>
    <font>
      <sz val="11"/>
      <name val="Aptos Narrow"/>
      <family val="2"/>
      <scheme val="minor"/>
    </font>
    <font>
      <sz val="12"/>
      <color rgb="FF000000"/>
      <name val="Book Antiqua"/>
    </font>
    <font>
      <u/>
      <sz val="11"/>
      <color theme="10"/>
      <name val="Book Antiqua"/>
    </font>
    <font>
      <sz val="12"/>
      <name val="Book Antiqua"/>
    </font>
    <font>
      <u/>
      <sz val="12"/>
      <name val="Book Antiqua"/>
    </font>
    <font>
      <sz val="12"/>
      <color theme="1"/>
      <name val="Book Antiqua"/>
    </font>
    <font>
      <u/>
      <sz val="12"/>
      <color theme="1"/>
      <name val="Book Antiqua"/>
    </font>
    <font>
      <u/>
      <sz val="11"/>
      <color theme="1"/>
      <name val="Aptos Narrow"/>
      <family val="2"/>
      <scheme val="minor"/>
    </font>
    <font>
      <u/>
      <sz val="12"/>
      <color theme="10"/>
      <name val="Book Antiqua"/>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xf numFmtId="44" fontId="14" fillId="0" borderId="0" applyFont="0" applyFill="0" applyBorder="0" applyAlignment="0" applyProtection="0"/>
    <xf numFmtId="43" fontId="14" fillId="0" borderId="0" applyFont="0" applyFill="0" applyBorder="0" applyAlignment="0" applyProtection="0"/>
  </cellStyleXfs>
  <cellXfs count="57">
    <xf numFmtId="0" fontId="0" fillId="0" borderId="0" xfId="0"/>
    <xf numFmtId="0" fontId="1" fillId="0" borderId="0" xfId="0" applyFont="1"/>
    <xf numFmtId="0" fontId="1" fillId="0" borderId="2" xfId="0" applyFont="1" applyBorder="1" applyAlignment="1">
      <alignmen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6" fillId="0" borderId="1" xfId="0" applyFont="1" applyBorder="1"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wrapText="1" indent="12"/>
    </xf>
    <xf numFmtId="0" fontId="10" fillId="0" borderId="0" xfId="1" applyFont="1" applyAlignment="1">
      <alignment horizontal="left" vertical="top" wrapText="1"/>
    </xf>
    <xf numFmtId="0" fontId="12" fillId="0" borderId="0" xfId="0" applyFont="1" applyAlignment="1">
      <alignment horizontal="left" vertical="center" wrapText="1" indent="12"/>
    </xf>
    <xf numFmtId="0" fontId="2" fillId="0" borderId="3" xfId="0" applyFont="1" applyBorder="1" applyAlignment="1">
      <alignment vertical="center" wrapText="1"/>
    </xf>
    <xf numFmtId="0" fontId="1" fillId="0" borderId="3" xfId="0" applyFont="1" applyBorder="1" applyAlignment="1">
      <alignment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44" fontId="3" fillId="0" borderId="3" xfId="2" applyFont="1" applyFill="1" applyBorder="1" applyAlignment="1">
      <alignment vertical="center" wrapText="1"/>
    </xf>
    <xf numFmtId="165" fontId="3" fillId="0" borderId="3" xfId="2" applyNumberFormat="1" applyFont="1" applyFill="1" applyBorder="1" applyAlignment="1">
      <alignment vertical="center" wrapText="1"/>
    </xf>
    <xf numFmtId="164" fontId="5" fillId="0" borderId="3" xfId="1" applyNumberFormat="1" applyFill="1" applyBorder="1" applyAlignment="1">
      <alignment vertical="center" wrapText="1"/>
    </xf>
    <xf numFmtId="0" fontId="15" fillId="0" borderId="3" xfId="0" applyFont="1" applyBorder="1" applyAlignment="1">
      <alignment vertical="center" wrapText="1"/>
    </xf>
    <xf numFmtId="0" fontId="16" fillId="0" borderId="0" xfId="0" applyFont="1" applyAlignment="1">
      <alignment wrapText="1"/>
    </xf>
    <xf numFmtId="0" fontId="16" fillId="0" borderId="3" xfId="0" applyFont="1" applyBorder="1" applyAlignment="1">
      <alignment vertical="center" wrapText="1"/>
    </xf>
    <xf numFmtId="0" fontId="17" fillId="0" borderId="3" xfId="0" applyFont="1" applyBorder="1" applyAlignment="1">
      <alignment vertical="center" wrapText="1"/>
    </xf>
    <xf numFmtId="0" fontId="18" fillId="0" borderId="3" xfId="1" applyFont="1" applyFill="1" applyBorder="1" applyAlignment="1">
      <alignment vertical="center" wrapText="1"/>
    </xf>
    <xf numFmtId="43" fontId="16" fillId="0" borderId="3" xfId="3" applyFont="1" applyFill="1" applyBorder="1" applyAlignment="1">
      <alignment vertical="center" wrapText="1"/>
    </xf>
    <xf numFmtId="0" fontId="20" fillId="0" borderId="0" xfId="0" applyFont="1" applyAlignment="1">
      <alignment wrapText="1"/>
    </xf>
    <xf numFmtId="0" fontId="22" fillId="0" borderId="3" xfId="1" applyFont="1" applyBorder="1" applyAlignment="1">
      <alignment vertical="center" wrapText="1"/>
    </xf>
    <xf numFmtId="0" fontId="23" fillId="0" borderId="3" xfId="0" applyFont="1" applyBorder="1" applyAlignment="1">
      <alignment vertical="center" wrapText="1"/>
    </xf>
    <xf numFmtId="0" fontId="23" fillId="0" borderId="0" xfId="0" applyFont="1" applyAlignment="1">
      <alignment horizontal="left" vertical="top" wrapText="1"/>
    </xf>
    <xf numFmtId="0" fontId="16" fillId="0" borderId="0" xfId="0" applyFont="1" applyAlignment="1">
      <alignment vertical="top" wrapText="1"/>
    </xf>
    <xf numFmtId="0" fontId="25" fillId="0" borderId="3" xfId="0" applyFont="1" applyBorder="1" applyAlignment="1">
      <alignment vertical="center" wrapText="1"/>
    </xf>
    <xf numFmtId="0" fontId="28" fillId="0" borderId="3" xfId="1" applyFont="1" applyBorder="1" applyAlignment="1">
      <alignment vertical="center" wrapText="1"/>
    </xf>
    <xf numFmtId="0" fontId="1" fillId="2" borderId="3" xfId="0" applyFont="1" applyFill="1" applyBorder="1" applyAlignment="1">
      <alignment vertical="center" wrapText="1"/>
    </xf>
    <xf numFmtId="0" fontId="3" fillId="2" borderId="3" xfId="0" applyFont="1" applyFill="1" applyBorder="1" applyAlignment="1">
      <alignment vertical="center" wrapText="1"/>
    </xf>
    <xf numFmtId="0" fontId="6" fillId="0" borderId="4" xfId="0" applyFont="1" applyBorder="1" applyAlignment="1">
      <alignment vertical="center" wrapText="1"/>
    </xf>
    <xf numFmtId="0" fontId="1" fillId="0" borderId="5" xfId="0" applyFont="1" applyBorder="1" applyAlignment="1">
      <alignment vertical="center" wrapText="1"/>
    </xf>
    <xf numFmtId="164" fontId="1" fillId="0" borderId="3" xfId="0" applyNumberFormat="1" applyFont="1" applyBorder="1" applyAlignment="1">
      <alignment vertical="center" wrapText="1"/>
    </xf>
    <xf numFmtId="164" fontId="4" fillId="0" borderId="3" xfId="0" applyNumberFormat="1" applyFont="1" applyBorder="1" applyAlignment="1">
      <alignment vertical="center" wrapText="1"/>
    </xf>
    <xf numFmtId="44" fontId="16" fillId="0" borderId="3" xfId="2" applyFont="1" applyFill="1" applyBorder="1" applyAlignment="1">
      <alignment vertical="center" wrapText="1"/>
    </xf>
    <xf numFmtId="44" fontId="16" fillId="0" borderId="3" xfId="0" applyNumberFormat="1" applyFont="1" applyBorder="1" applyAlignment="1">
      <alignment vertical="center" wrapText="1"/>
    </xf>
    <xf numFmtId="164" fontId="16" fillId="0" borderId="3" xfId="0" applyNumberFormat="1" applyFont="1" applyBorder="1" applyAlignment="1">
      <alignment vertical="center" wrapText="1"/>
    </xf>
    <xf numFmtId="164" fontId="3" fillId="0" borderId="3" xfId="0" applyNumberFormat="1" applyFont="1" applyBorder="1" applyAlignment="1">
      <alignment vertical="center" wrapText="1"/>
    </xf>
    <xf numFmtId="44" fontId="3" fillId="0" borderId="3" xfId="0" applyNumberFormat="1" applyFont="1" applyBorder="1" applyAlignment="1">
      <alignment vertical="center" wrapText="1"/>
    </xf>
    <xf numFmtId="0" fontId="22" fillId="0" borderId="3" xfId="1" applyFont="1" applyFill="1" applyBorder="1" applyAlignment="1">
      <alignment vertical="center" wrapText="1"/>
    </xf>
    <xf numFmtId="44" fontId="4" fillId="0" borderId="3" xfId="2" applyFont="1" applyFill="1" applyBorder="1" applyAlignment="1">
      <alignment vertical="center" wrapText="1"/>
    </xf>
    <xf numFmtId="44" fontId="1" fillId="0" borderId="3" xfId="2" applyFont="1" applyFill="1" applyBorder="1" applyAlignment="1">
      <alignment vertical="center" wrapText="1"/>
    </xf>
    <xf numFmtId="0" fontId="5" fillId="0" borderId="0" xfId="1" applyAlignment="1">
      <alignment horizontal="left" vertical="top" wrapText="1"/>
    </xf>
    <xf numFmtId="0" fontId="27" fillId="0" borderId="0" xfId="1" applyFont="1" applyAlignment="1">
      <alignment horizontal="left" vertical="top" wrapText="1"/>
    </xf>
    <xf numFmtId="0" fontId="24" fillId="0" borderId="0" xfId="1" applyFont="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10" fillId="0" borderId="0" xfId="1" applyFont="1" applyAlignment="1">
      <alignment horizontal="left" vertical="top" wrapText="1"/>
    </xf>
    <xf numFmtId="0" fontId="10" fillId="0" borderId="0" xfId="1" applyFont="1" applyFill="1" applyAlignment="1">
      <alignment horizontal="left" vertical="top" wrapText="1"/>
    </xf>
    <xf numFmtId="164" fontId="1" fillId="0" borderId="3" xfId="0" applyNumberFormat="1" applyFont="1" applyFill="1" applyBorder="1" applyAlignment="1">
      <alignment vertical="center" wrapText="1"/>
    </xf>
    <xf numFmtId="0" fontId="16" fillId="0" borderId="3" xfId="0" applyFont="1" applyFill="1" applyBorder="1" applyAlignment="1">
      <alignment vertical="center" wrapText="1"/>
    </xf>
    <xf numFmtId="164" fontId="16" fillId="0" borderId="3" xfId="0" applyNumberFormat="1" applyFont="1" applyFill="1" applyBorder="1" applyAlignment="1">
      <alignment vertical="center" wrapText="1"/>
    </xf>
  </cellXfs>
  <cellStyles count="4">
    <cellStyle name="Comma" xfId="3" builtinId="3"/>
    <cellStyle name="Currency" xfId="2" builtinId="4"/>
    <cellStyle name="Hyperlink" xfId="1" builtinId="8"/>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456CA5FB-3DE2-75FE-7EA4-A530EEA785DB}"/>
            </a:ext>
          </a:extLst>
        </xdr:cNvPr>
        <xdr:cNvSpPr txBox="1"/>
      </xdr:nvSpPr>
      <xdr:spPr>
        <a:xfrm>
          <a:off x="4072255" y="13900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AE823290-6680-C66D-35DB-7FBA95DAA9FE}"/>
            </a:ext>
          </a:extLst>
        </xdr:cNvPr>
        <xdr:cNvSpPr txBox="1"/>
      </xdr:nvSpPr>
      <xdr:spPr>
        <a:xfrm>
          <a:off x="4072255" y="55505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0</xdr:col>
      <xdr:colOff>3175</xdr:colOff>
      <xdr:row>13</xdr:row>
      <xdr:rowOff>3175</xdr:rowOff>
    </xdr:from>
    <xdr:to>
      <xdr:col>0</xdr:col>
      <xdr:colOff>66675</xdr:colOff>
      <xdr:row>13</xdr:row>
      <xdr:rowOff>105767</xdr:rowOff>
    </xdr:to>
    <xdr:sp macro="" textlink="">
      <xdr:nvSpPr>
        <xdr:cNvPr id="4" name="TextBox 3">
          <a:extLst>
            <a:ext uri="{FF2B5EF4-FFF2-40B4-BE49-F238E27FC236}">
              <a16:creationId xmlns:a16="http://schemas.microsoft.com/office/drawing/2014/main" id="{EA5F7F32-7FD6-1210-B153-18F16D897659}"/>
            </a:ext>
          </a:extLst>
        </xdr:cNvPr>
        <xdr:cNvSpPr txBox="1"/>
      </xdr:nvSpPr>
      <xdr:spPr>
        <a:xfrm>
          <a:off x="3175" y="120884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5" name="TextBox 4">
          <a:extLst>
            <a:ext uri="{FF2B5EF4-FFF2-40B4-BE49-F238E27FC236}">
              <a16:creationId xmlns:a16="http://schemas.microsoft.com/office/drawing/2014/main" id="{27354D06-4AF2-75DA-D3E1-E880ADA22740}"/>
            </a:ext>
          </a:extLst>
        </xdr:cNvPr>
        <xdr:cNvSpPr txBox="1"/>
      </xdr:nvSpPr>
      <xdr:spPr>
        <a:xfrm>
          <a:off x="3175" y="127057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6" name="TextBox 5">
          <a:extLst>
            <a:ext uri="{FF2B5EF4-FFF2-40B4-BE49-F238E27FC236}">
              <a16:creationId xmlns:a16="http://schemas.microsoft.com/office/drawing/2014/main" id="{37347864-5990-A146-5C71-8BD12DF1FE1D}"/>
            </a:ext>
          </a:extLst>
        </xdr:cNvPr>
        <xdr:cNvSpPr txBox="1"/>
      </xdr:nvSpPr>
      <xdr:spPr>
        <a:xfrm>
          <a:off x="3175" y="133076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X0A4T</a:t>
          </a:r>
        </a:p>
      </xdr:txBody>
    </xdr:sp>
    <xdr:clientData/>
  </xdr:twoCellAnchor>
  <xdr:twoCellAnchor>
    <xdr:from>
      <xdr:col>0</xdr:col>
      <xdr:colOff>3175</xdr:colOff>
      <xdr:row>16</xdr:row>
      <xdr:rowOff>3175</xdr:rowOff>
    </xdr:from>
    <xdr:to>
      <xdr:col>0</xdr:col>
      <xdr:colOff>66675</xdr:colOff>
      <xdr:row>16</xdr:row>
      <xdr:rowOff>105767</xdr:rowOff>
    </xdr:to>
    <xdr:sp macro="" textlink="">
      <xdr:nvSpPr>
        <xdr:cNvPr id="7" name="TextBox 6">
          <a:extLst>
            <a:ext uri="{FF2B5EF4-FFF2-40B4-BE49-F238E27FC236}">
              <a16:creationId xmlns:a16="http://schemas.microsoft.com/office/drawing/2014/main" id="{59BE5B9D-490B-3C59-44DB-5B496A024C37}"/>
            </a:ext>
          </a:extLst>
        </xdr:cNvPr>
        <xdr:cNvSpPr txBox="1"/>
      </xdr:nvSpPr>
      <xdr:spPr>
        <a:xfrm>
          <a:off x="3175" y="138258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X0A5T</a:t>
          </a:r>
        </a:p>
      </xdr:txBody>
    </xdr:sp>
    <xdr:clientData/>
  </xdr:twoCellAnchor>
  <xdr:twoCellAnchor>
    <xdr:from>
      <xdr:col>0</xdr:col>
      <xdr:colOff>3175</xdr:colOff>
      <xdr:row>17</xdr:row>
      <xdr:rowOff>3175</xdr:rowOff>
    </xdr:from>
    <xdr:to>
      <xdr:col>0</xdr:col>
      <xdr:colOff>66675</xdr:colOff>
      <xdr:row>17</xdr:row>
      <xdr:rowOff>105767</xdr:rowOff>
    </xdr:to>
    <xdr:sp macro="" textlink="">
      <xdr:nvSpPr>
        <xdr:cNvPr id="8" name="TextBox 7">
          <a:extLst>
            <a:ext uri="{FF2B5EF4-FFF2-40B4-BE49-F238E27FC236}">
              <a16:creationId xmlns:a16="http://schemas.microsoft.com/office/drawing/2014/main" id="{B29171A5-D11F-B2B9-75F6-51039A5DF762}"/>
            </a:ext>
          </a:extLst>
        </xdr:cNvPr>
        <xdr:cNvSpPr txBox="1"/>
      </xdr:nvSpPr>
      <xdr:spPr>
        <a:xfrm>
          <a:off x="3175" y="143211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68FE1086-3950-2885-FA3B-B0E2EE86C0A4}"/>
            </a:ext>
          </a:extLst>
        </xdr:cNvPr>
        <xdr:cNvSpPr txBox="1"/>
      </xdr:nvSpPr>
      <xdr:spPr>
        <a:xfrm>
          <a:off x="5131435" y="21215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33B46D97-C00B-2A2E-90D8-00BAE1D5B31D}"/>
            </a:ext>
          </a:extLst>
        </xdr:cNvPr>
        <xdr:cNvSpPr txBox="1"/>
      </xdr:nvSpPr>
      <xdr:spPr>
        <a:xfrm>
          <a:off x="5131435" y="66782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4" name="TextBox 3">
          <a:extLst>
            <a:ext uri="{FF2B5EF4-FFF2-40B4-BE49-F238E27FC236}">
              <a16:creationId xmlns:a16="http://schemas.microsoft.com/office/drawing/2014/main" id="{0B15AA4A-B3FF-0629-03EA-CB14276567CF}"/>
            </a:ext>
          </a:extLst>
        </xdr:cNvPr>
        <xdr:cNvSpPr txBox="1"/>
      </xdr:nvSpPr>
      <xdr:spPr>
        <a:xfrm>
          <a:off x="3175" y="145649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0</xdr:col>
      <xdr:colOff>3175</xdr:colOff>
      <xdr:row>13</xdr:row>
      <xdr:rowOff>3175</xdr:rowOff>
    </xdr:from>
    <xdr:to>
      <xdr:col>0</xdr:col>
      <xdr:colOff>66675</xdr:colOff>
      <xdr:row>13</xdr:row>
      <xdr:rowOff>105767</xdr:rowOff>
    </xdr:to>
    <xdr:sp macro="" textlink="">
      <xdr:nvSpPr>
        <xdr:cNvPr id="5" name="TextBox 4">
          <a:extLst>
            <a:ext uri="{FF2B5EF4-FFF2-40B4-BE49-F238E27FC236}">
              <a16:creationId xmlns:a16="http://schemas.microsoft.com/office/drawing/2014/main" id="{6E5C3469-7752-0BCA-E03D-DD16359D1AA3}"/>
            </a:ext>
          </a:extLst>
        </xdr:cNvPr>
        <xdr:cNvSpPr txBox="1"/>
      </xdr:nvSpPr>
      <xdr:spPr>
        <a:xfrm>
          <a:off x="3175" y="1330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0</xdr:col>
      <xdr:colOff>3175</xdr:colOff>
      <xdr:row>29</xdr:row>
      <xdr:rowOff>3174</xdr:rowOff>
    </xdr:from>
    <xdr:to>
      <xdr:col>0</xdr:col>
      <xdr:colOff>66675</xdr:colOff>
      <xdr:row>29</xdr:row>
      <xdr:rowOff>105766</xdr:rowOff>
    </xdr:to>
    <xdr:sp macro="" textlink="">
      <xdr:nvSpPr>
        <xdr:cNvPr id="6" name="TextBox 5">
          <a:extLst>
            <a:ext uri="{FF2B5EF4-FFF2-40B4-BE49-F238E27FC236}">
              <a16:creationId xmlns:a16="http://schemas.microsoft.com/office/drawing/2014/main" id="{9D0E5344-2B5B-75BE-9F12-AB005E99D71C}"/>
            </a:ext>
          </a:extLst>
        </xdr:cNvPr>
        <xdr:cNvSpPr txBox="1"/>
      </xdr:nvSpPr>
      <xdr:spPr>
        <a:xfrm>
          <a:off x="3175" y="29256354"/>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0</xdr:col>
      <xdr:colOff>3175</xdr:colOff>
      <xdr:row>28</xdr:row>
      <xdr:rowOff>3176</xdr:rowOff>
    </xdr:from>
    <xdr:to>
      <xdr:col>0</xdr:col>
      <xdr:colOff>66675</xdr:colOff>
      <xdr:row>28</xdr:row>
      <xdr:rowOff>105768</xdr:rowOff>
    </xdr:to>
    <xdr:sp macro="" textlink="">
      <xdr:nvSpPr>
        <xdr:cNvPr id="7" name="TextBox 6">
          <a:extLst>
            <a:ext uri="{FF2B5EF4-FFF2-40B4-BE49-F238E27FC236}">
              <a16:creationId xmlns:a16="http://schemas.microsoft.com/office/drawing/2014/main" id="{5C9B8541-61C8-DED5-2FCD-E7D2225309AD}"/>
            </a:ext>
          </a:extLst>
        </xdr:cNvPr>
        <xdr:cNvSpPr txBox="1"/>
      </xdr:nvSpPr>
      <xdr:spPr>
        <a:xfrm>
          <a:off x="3175" y="28524836"/>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0</xdr:col>
      <xdr:colOff>3175</xdr:colOff>
      <xdr:row>30</xdr:row>
      <xdr:rowOff>3174</xdr:rowOff>
    </xdr:from>
    <xdr:to>
      <xdr:col>0</xdr:col>
      <xdr:colOff>66675</xdr:colOff>
      <xdr:row>30</xdr:row>
      <xdr:rowOff>105766</xdr:rowOff>
    </xdr:to>
    <xdr:sp macro="" textlink="">
      <xdr:nvSpPr>
        <xdr:cNvPr id="8" name="TextBox 7">
          <a:extLst>
            <a:ext uri="{FF2B5EF4-FFF2-40B4-BE49-F238E27FC236}">
              <a16:creationId xmlns:a16="http://schemas.microsoft.com/office/drawing/2014/main" id="{FCD3C8C4-85DD-D00F-C15B-EDAF474863E3}"/>
            </a:ext>
          </a:extLst>
        </xdr:cNvPr>
        <xdr:cNvSpPr txBox="1"/>
      </xdr:nvSpPr>
      <xdr:spPr>
        <a:xfrm>
          <a:off x="3175" y="29584014"/>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A3C112C7-C0C3-0FF4-9355-3DE719739592}"/>
            </a:ext>
          </a:extLst>
        </xdr:cNvPr>
        <xdr:cNvSpPr txBox="1"/>
      </xdr:nvSpPr>
      <xdr:spPr>
        <a:xfrm>
          <a:off x="5177155" y="17862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3" name="TextBox 2">
          <a:extLst>
            <a:ext uri="{FF2B5EF4-FFF2-40B4-BE49-F238E27FC236}">
              <a16:creationId xmlns:a16="http://schemas.microsoft.com/office/drawing/2014/main" id="{27911B61-97CA-D5F5-B061-FD81F3923CB1}"/>
            </a:ext>
          </a:extLst>
        </xdr:cNvPr>
        <xdr:cNvSpPr txBox="1"/>
      </xdr:nvSpPr>
      <xdr:spPr>
        <a:xfrm>
          <a:off x="3175" y="1935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0</xdr:col>
      <xdr:colOff>3175</xdr:colOff>
      <xdr:row>22</xdr:row>
      <xdr:rowOff>3175</xdr:rowOff>
    </xdr:from>
    <xdr:to>
      <xdr:col>0</xdr:col>
      <xdr:colOff>66675</xdr:colOff>
      <xdr:row>22</xdr:row>
      <xdr:rowOff>105767</xdr:rowOff>
    </xdr:to>
    <xdr:sp macro="" textlink="">
      <xdr:nvSpPr>
        <xdr:cNvPr id="4" name="TextBox 3">
          <a:extLst>
            <a:ext uri="{FF2B5EF4-FFF2-40B4-BE49-F238E27FC236}">
              <a16:creationId xmlns:a16="http://schemas.microsoft.com/office/drawing/2014/main" id="{915249EC-1B74-234E-B44F-4F92B8D4AFB4}"/>
            </a:ext>
          </a:extLst>
        </xdr:cNvPr>
        <xdr:cNvSpPr txBox="1"/>
      </xdr:nvSpPr>
      <xdr:spPr>
        <a:xfrm>
          <a:off x="3175" y="19967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xdr:colOff>
      <xdr:row>16</xdr:row>
      <xdr:rowOff>3175</xdr:rowOff>
    </xdr:from>
    <xdr:to>
      <xdr:col>1</xdr:col>
      <xdr:colOff>66675</xdr:colOff>
      <xdr:row>16</xdr:row>
      <xdr:rowOff>105767</xdr:rowOff>
    </xdr:to>
    <xdr:sp macro="" textlink="">
      <xdr:nvSpPr>
        <xdr:cNvPr id="2" name="TextBox 1">
          <a:extLst>
            <a:ext uri="{FF2B5EF4-FFF2-40B4-BE49-F238E27FC236}">
              <a16:creationId xmlns:a16="http://schemas.microsoft.com/office/drawing/2014/main" id="{AB2BD683-00D0-6962-9FFA-B6FE2F314BCA}"/>
            </a:ext>
          </a:extLst>
        </xdr:cNvPr>
        <xdr:cNvSpPr txBox="1"/>
      </xdr:nvSpPr>
      <xdr:spPr>
        <a:xfrm>
          <a:off x="597535" y="4422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1</xdr:col>
      <xdr:colOff>3175</xdr:colOff>
      <xdr:row>35</xdr:row>
      <xdr:rowOff>3175</xdr:rowOff>
    </xdr:from>
    <xdr:to>
      <xdr:col>1</xdr:col>
      <xdr:colOff>66675</xdr:colOff>
      <xdr:row>35</xdr:row>
      <xdr:rowOff>105767</xdr:rowOff>
    </xdr:to>
    <xdr:sp macro="" textlink="">
      <xdr:nvSpPr>
        <xdr:cNvPr id="3" name="TextBox 2">
          <a:extLst>
            <a:ext uri="{FF2B5EF4-FFF2-40B4-BE49-F238E27FC236}">
              <a16:creationId xmlns:a16="http://schemas.microsoft.com/office/drawing/2014/main" id="{8498C808-515E-036C-1373-EB21F52C268B}"/>
            </a:ext>
          </a:extLst>
        </xdr:cNvPr>
        <xdr:cNvSpPr txBox="1"/>
      </xdr:nvSpPr>
      <xdr:spPr>
        <a:xfrm>
          <a:off x="597535" y="129419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1</xdr:col>
      <xdr:colOff>3175</xdr:colOff>
      <xdr:row>34</xdr:row>
      <xdr:rowOff>3175</xdr:rowOff>
    </xdr:from>
    <xdr:to>
      <xdr:col>1</xdr:col>
      <xdr:colOff>66675</xdr:colOff>
      <xdr:row>34</xdr:row>
      <xdr:rowOff>105767</xdr:rowOff>
    </xdr:to>
    <xdr:sp macro="" textlink="">
      <xdr:nvSpPr>
        <xdr:cNvPr id="4" name="TextBox 3">
          <a:extLst>
            <a:ext uri="{FF2B5EF4-FFF2-40B4-BE49-F238E27FC236}">
              <a16:creationId xmlns:a16="http://schemas.microsoft.com/office/drawing/2014/main" id="{D0558190-CEEF-86BE-909B-75558ECCEA9F}"/>
            </a:ext>
          </a:extLst>
        </xdr:cNvPr>
        <xdr:cNvSpPr txBox="1"/>
      </xdr:nvSpPr>
      <xdr:spPr>
        <a:xfrm>
          <a:off x="597535" y="127438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X4A2T</a:t>
          </a:r>
        </a:p>
      </xdr:txBody>
    </xdr:sp>
    <xdr:clientData/>
  </xdr:twoCellAnchor>
  <xdr:twoCellAnchor>
    <xdr:from>
      <xdr:col>1</xdr:col>
      <xdr:colOff>3175</xdr:colOff>
      <xdr:row>33</xdr:row>
      <xdr:rowOff>3175</xdr:rowOff>
    </xdr:from>
    <xdr:to>
      <xdr:col>1</xdr:col>
      <xdr:colOff>66675</xdr:colOff>
      <xdr:row>33</xdr:row>
      <xdr:rowOff>105767</xdr:rowOff>
    </xdr:to>
    <xdr:sp macro="" textlink="">
      <xdr:nvSpPr>
        <xdr:cNvPr id="5" name="TextBox 4">
          <a:extLst>
            <a:ext uri="{FF2B5EF4-FFF2-40B4-BE49-F238E27FC236}">
              <a16:creationId xmlns:a16="http://schemas.microsoft.com/office/drawing/2014/main" id="{567632BF-F9F6-A46D-9360-2B385C65F7DB}"/>
            </a:ext>
          </a:extLst>
        </xdr:cNvPr>
        <xdr:cNvSpPr txBox="1"/>
      </xdr:nvSpPr>
      <xdr:spPr>
        <a:xfrm>
          <a:off x="597535" y="115779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X4A3T</a:t>
          </a:r>
        </a:p>
      </xdr:txBody>
    </xdr:sp>
    <xdr:clientData/>
  </xdr:twoCellAnchor>
  <xdr:twoCellAnchor>
    <xdr:from>
      <xdr:col>1</xdr:col>
      <xdr:colOff>3175</xdr:colOff>
      <xdr:row>32</xdr:row>
      <xdr:rowOff>3175</xdr:rowOff>
    </xdr:from>
    <xdr:to>
      <xdr:col>1</xdr:col>
      <xdr:colOff>66675</xdr:colOff>
      <xdr:row>32</xdr:row>
      <xdr:rowOff>105767</xdr:rowOff>
    </xdr:to>
    <xdr:sp macro="" textlink="">
      <xdr:nvSpPr>
        <xdr:cNvPr id="6" name="TextBox 5">
          <a:extLst>
            <a:ext uri="{FF2B5EF4-FFF2-40B4-BE49-F238E27FC236}">
              <a16:creationId xmlns:a16="http://schemas.microsoft.com/office/drawing/2014/main" id="{F8E9854D-FA39-727A-D29E-A6DB3889A77A}"/>
            </a:ext>
          </a:extLst>
        </xdr:cNvPr>
        <xdr:cNvSpPr txBox="1"/>
      </xdr:nvSpPr>
      <xdr:spPr>
        <a:xfrm>
          <a:off x="597535" y="110293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X4A4T</a:t>
          </a:r>
        </a:p>
      </xdr:txBody>
    </xdr:sp>
    <xdr:clientData/>
  </xdr:twoCellAnchor>
  <xdr:twoCellAnchor>
    <xdr:from>
      <xdr:col>1</xdr:col>
      <xdr:colOff>3175</xdr:colOff>
      <xdr:row>14</xdr:row>
      <xdr:rowOff>3175</xdr:rowOff>
    </xdr:from>
    <xdr:to>
      <xdr:col>1</xdr:col>
      <xdr:colOff>66675</xdr:colOff>
      <xdr:row>14</xdr:row>
      <xdr:rowOff>105767</xdr:rowOff>
    </xdr:to>
    <xdr:sp macro="" textlink="">
      <xdr:nvSpPr>
        <xdr:cNvPr id="7" name="TextBox 6">
          <a:extLst>
            <a:ext uri="{FF2B5EF4-FFF2-40B4-BE49-F238E27FC236}">
              <a16:creationId xmlns:a16="http://schemas.microsoft.com/office/drawing/2014/main" id="{4DD3572F-9D87-3FA4-A54C-A0E423EDA6F5}"/>
            </a:ext>
          </a:extLst>
        </xdr:cNvPr>
        <xdr:cNvSpPr txBox="1"/>
      </xdr:nvSpPr>
      <xdr:spPr>
        <a:xfrm>
          <a:off x="597535" y="39808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X4A5T</a:t>
          </a:r>
        </a:p>
      </xdr:txBody>
    </xdr:sp>
    <xdr:clientData/>
  </xdr:twoCellAnchor>
  <xdr:twoCellAnchor>
    <xdr:from>
      <xdr:col>1</xdr:col>
      <xdr:colOff>3175</xdr:colOff>
      <xdr:row>17</xdr:row>
      <xdr:rowOff>3175</xdr:rowOff>
    </xdr:from>
    <xdr:to>
      <xdr:col>1</xdr:col>
      <xdr:colOff>66675</xdr:colOff>
      <xdr:row>17</xdr:row>
      <xdr:rowOff>105767</xdr:rowOff>
    </xdr:to>
    <xdr:sp macro="" textlink="">
      <xdr:nvSpPr>
        <xdr:cNvPr id="8" name="TextBox 7">
          <a:extLst>
            <a:ext uri="{FF2B5EF4-FFF2-40B4-BE49-F238E27FC236}">
              <a16:creationId xmlns:a16="http://schemas.microsoft.com/office/drawing/2014/main" id="{B3D09C95-933E-15A6-A8F8-2693443DD43C}"/>
            </a:ext>
          </a:extLst>
        </xdr:cNvPr>
        <xdr:cNvSpPr txBox="1"/>
      </xdr:nvSpPr>
      <xdr:spPr>
        <a:xfrm>
          <a:off x="597535" y="46437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X4A6T</a:t>
          </a:r>
        </a:p>
      </xdr:txBody>
    </xdr:sp>
    <xdr:clientData/>
  </xdr:twoCellAnchor>
  <xdr:twoCellAnchor>
    <xdr:from>
      <xdr:col>1</xdr:col>
      <xdr:colOff>3175</xdr:colOff>
      <xdr:row>15</xdr:row>
      <xdr:rowOff>3175</xdr:rowOff>
    </xdr:from>
    <xdr:to>
      <xdr:col>1</xdr:col>
      <xdr:colOff>66675</xdr:colOff>
      <xdr:row>15</xdr:row>
      <xdr:rowOff>105767</xdr:rowOff>
    </xdr:to>
    <xdr:sp macro="" textlink="">
      <xdr:nvSpPr>
        <xdr:cNvPr id="9" name="TextBox 8">
          <a:extLst>
            <a:ext uri="{FF2B5EF4-FFF2-40B4-BE49-F238E27FC236}">
              <a16:creationId xmlns:a16="http://schemas.microsoft.com/office/drawing/2014/main" id="{38F7FD4F-B127-E730-98F9-787B9BB2916E}"/>
            </a:ext>
          </a:extLst>
        </xdr:cNvPr>
        <xdr:cNvSpPr txBox="1"/>
      </xdr:nvSpPr>
      <xdr:spPr>
        <a:xfrm>
          <a:off x="597535" y="42017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X4A7T</a:t>
          </a:r>
        </a:p>
      </xdr:txBody>
    </xdr:sp>
    <xdr:clientData/>
  </xdr:twoCellAnchor>
</xdr:wsDr>
</file>

<file path=xl/persons/person.xml><?xml version="1.0" encoding="utf-8"?>
<personList xmlns="http://schemas.microsoft.com/office/spreadsheetml/2018/threadedcomments" xmlns:x="http://schemas.openxmlformats.org/spreadsheetml/2006/main">
  <person displayName="Hlavka, Eileen" id="{B0B6F5F9-CC76-4ED4-AAB1-47B712A717F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B0B6F5F9-CC76-4ED4-AAB1-47B712A717F5}" id="{3D6B4F96-D81D-4270-8044-973899D664A8}">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0l2];/" TargetMode="External"/><Relationship Id="rId7" Type="http://schemas.openxmlformats.org/officeDocument/2006/relationships/hyperlink" Target="http://[s0l6];/"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5" Type="http://schemas.openxmlformats.org/officeDocument/2006/relationships/hyperlink" Target="http://[s0l4];/" TargetMode="External"/><Relationship Id="rId10" Type="http://schemas.openxmlformats.org/officeDocument/2006/relationships/drawing" Target="../drawings/drawing1.xml"/><Relationship Id="rId4" Type="http://schemas.openxmlformats.org/officeDocument/2006/relationships/hyperlink" Target="http://[s0l3];/" TargetMode="External"/><Relationship Id="rId9"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hyperlink" Target="http://[s1l17];/" TargetMode="External"/><Relationship Id="rId3" Type="http://schemas.openxmlformats.org/officeDocument/2006/relationships/hyperlink" Target="http://[s1l2];/" TargetMode="External"/><Relationship Id="rId21" Type="http://schemas.openxmlformats.org/officeDocument/2006/relationships/printerSettings" Target="../printerSettings/printerSettings2.bin"/><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20" Type="http://schemas.openxmlformats.org/officeDocument/2006/relationships/hyperlink" Target="http://[s1l19];/"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23" Type="http://schemas.openxmlformats.org/officeDocument/2006/relationships/drawing" Target="../drawings/drawing2.xml"/><Relationship Id="rId10" Type="http://schemas.openxmlformats.org/officeDocument/2006/relationships/hyperlink" Target="http://[s1l9];/" TargetMode="External"/><Relationship Id="rId19" Type="http://schemas.openxmlformats.org/officeDocument/2006/relationships/hyperlink" Target="http://[s1l18];/" TargetMode="Externa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 Id="rId22"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2l3];/" TargetMode="External"/><Relationship Id="rId7" Type="http://schemas.openxmlformats.org/officeDocument/2006/relationships/hyperlink" Target="http://[s2l7];/" TargetMode="External"/><Relationship Id="rId2" Type="http://schemas.openxmlformats.org/officeDocument/2006/relationships/hyperlink" Target="http://[s2l2];/" TargetMode="External"/><Relationship Id="rId1" Type="http://schemas.openxmlformats.org/officeDocument/2006/relationships/hyperlink" Target="http://[s2l0];/" TargetMode="External"/><Relationship Id="rId6" Type="http://schemas.openxmlformats.org/officeDocument/2006/relationships/hyperlink" Target="http://[s2l6];/" TargetMode="External"/><Relationship Id="rId5" Type="http://schemas.openxmlformats.org/officeDocument/2006/relationships/hyperlink" Target="http://[s2l5];/" TargetMode="External"/><Relationship Id="rId10" Type="http://schemas.openxmlformats.org/officeDocument/2006/relationships/drawing" Target="../drawings/drawing3.xml"/><Relationship Id="rId4" Type="http://schemas.openxmlformats.org/officeDocument/2006/relationships/hyperlink" Target="http://[s2l4];/" TargetMode="External"/><Relationship Id="rId9"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4l14];/" TargetMode="External"/><Relationship Id="rId13" Type="http://schemas.openxmlformats.org/officeDocument/2006/relationships/comments" Target="../comments1.xml"/><Relationship Id="rId3" Type="http://schemas.openxmlformats.org/officeDocument/2006/relationships/hyperlink" Target="http://[s4l8];/" TargetMode="External"/><Relationship Id="rId7" Type="http://schemas.openxmlformats.org/officeDocument/2006/relationships/hyperlink" Target="http://[s4l13];/" TargetMode="External"/><Relationship Id="rId12" Type="http://schemas.openxmlformats.org/officeDocument/2006/relationships/vmlDrawing" Target="../drawings/vmlDrawing1.vml"/><Relationship Id="rId2" Type="http://schemas.openxmlformats.org/officeDocument/2006/relationships/hyperlink" Target="http://[s4l7];/" TargetMode="External"/><Relationship Id="rId1" Type="http://schemas.openxmlformats.org/officeDocument/2006/relationships/hyperlink" Target="http://[s4l0];/" TargetMode="External"/><Relationship Id="rId6" Type="http://schemas.openxmlformats.org/officeDocument/2006/relationships/hyperlink" Target="http://[s4l12];/" TargetMode="External"/><Relationship Id="rId11" Type="http://schemas.openxmlformats.org/officeDocument/2006/relationships/drawing" Target="../drawings/drawing4.xml"/><Relationship Id="rId5" Type="http://schemas.openxmlformats.org/officeDocument/2006/relationships/hyperlink" Target="http://[s4l10];/" TargetMode="External"/><Relationship Id="rId10" Type="http://schemas.openxmlformats.org/officeDocument/2006/relationships/customProperty" Target="../customProperty5.bin"/><Relationship Id="rId4" Type="http://schemas.openxmlformats.org/officeDocument/2006/relationships/hyperlink" Target="http://[s4l9];/" TargetMode="External"/><Relationship Id="rId9" Type="http://schemas.openxmlformats.org/officeDocument/2006/relationships/printerSettings" Target="../printerSettings/printerSettings5.bin"/><Relationship Id="rId1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dimension ref="A1:E18"/>
  <sheetViews>
    <sheetView tabSelected="1" zoomScaleNormal="100" workbookViewId="0">
      <pane ySplit="1" topLeftCell="A2" activePane="bottomLeft" state="frozen"/>
      <selection pane="bottomLeft" activeCell="I3" sqref="I3"/>
    </sheetView>
  </sheetViews>
  <sheetFormatPr defaultColWidth="8.7109375" defaultRowHeight="15.75" x14ac:dyDescent="0.25"/>
  <cols>
    <col min="1" max="2" width="13.42578125" style="6" customWidth="1"/>
    <col min="3" max="3" width="14.5703125" style="6" customWidth="1"/>
    <col min="4" max="4" width="17.85546875" style="6" bestFit="1" customWidth="1"/>
    <col min="5" max="5" width="31.85546875" style="6" customWidth="1"/>
    <col min="6" max="16384" width="8.7109375" style="1"/>
  </cols>
  <sheetData>
    <row r="1" spans="1:5" ht="33" x14ac:dyDescent="0.25">
      <c r="A1" s="13" t="s">
        <v>0</v>
      </c>
      <c r="B1" s="13" t="s">
        <v>1</v>
      </c>
      <c r="C1" s="13" t="s">
        <v>2</v>
      </c>
      <c r="D1" s="13" t="s">
        <v>3</v>
      </c>
      <c r="E1" s="13" t="s">
        <v>4</v>
      </c>
    </row>
    <row r="2" spans="1:5" ht="78.75" x14ac:dyDescent="0.25">
      <c r="A2" s="14" t="s">
        <v>5</v>
      </c>
      <c r="B2" s="14" t="s">
        <v>6</v>
      </c>
      <c r="C2" s="15" t="s">
        <v>7</v>
      </c>
      <c r="D2" s="45">
        <f>'Costs by Operating District'!K10</f>
        <v>24694.335449635619</v>
      </c>
      <c r="E2" s="16" t="s">
        <v>8</v>
      </c>
    </row>
    <row r="3" spans="1:5" ht="78.75" x14ac:dyDescent="0.25">
      <c r="A3" s="14" t="s">
        <v>9</v>
      </c>
      <c r="B3" s="32" t="s">
        <v>10</v>
      </c>
      <c r="C3" s="15" t="s">
        <v>11</v>
      </c>
      <c r="D3" s="45">
        <f>'Costs by Operating District'!K2</f>
        <v>29127.805689655175</v>
      </c>
      <c r="E3" s="16" t="s">
        <v>12</v>
      </c>
    </row>
    <row r="4" spans="1:5" ht="94.5" x14ac:dyDescent="0.25">
      <c r="A4" s="14" t="s">
        <v>13</v>
      </c>
      <c r="B4" s="14" t="s">
        <v>6</v>
      </c>
      <c r="C4" s="14" t="s">
        <v>14</v>
      </c>
      <c r="D4" s="46">
        <f>'Costs by Operating District'!K11</f>
        <v>2841311.0162017294</v>
      </c>
      <c r="E4" s="16" t="s">
        <v>15</v>
      </c>
    </row>
    <row r="5" spans="1:5" ht="63" x14ac:dyDescent="0.25">
      <c r="A5" s="14" t="s">
        <v>16</v>
      </c>
      <c r="B5" s="14" t="s">
        <v>6</v>
      </c>
      <c r="C5" s="14" t="s">
        <v>17</v>
      </c>
      <c r="D5" s="54">
        <f>'Costs by Operating District'!K12</f>
        <v>4.244131455399061</v>
      </c>
      <c r="E5" s="16" t="s">
        <v>18</v>
      </c>
    </row>
    <row r="6" spans="1:5" ht="94.5" x14ac:dyDescent="0.25">
      <c r="A6" s="14" t="s">
        <v>19</v>
      </c>
      <c r="B6" s="14" t="s">
        <v>6</v>
      </c>
      <c r="C6" s="14" t="s">
        <v>20</v>
      </c>
      <c r="D6" s="37">
        <f>'Costs by Operating District'!K13</f>
        <v>905.25</v>
      </c>
      <c r="E6" s="16" t="s">
        <v>21</v>
      </c>
    </row>
    <row r="7" spans="1:5" ht="78.75" x14ac:dyDescent="0.25">
      <c r="A7" s="14" t="s">
        <v>22</v>
      </c>
      <c r="B7" s="14" t="s">
        <v>23</v>
      </c>
      <c r="C7" s="14" t="s">
        <v>24</v>
      </c>
      <c r="D7" s="37">
        <f>'Costs by Operating District'!K4</f>
        <v>43.5</v>
      </c>
      <c r="E7" s="16" t="s">
        <v>25</v>
      </c>
    </row>
    <row r="8" spans="1:5" ht="94.5" x14ac:dyDescent="0.25">
      <c r="A8" s="14" t="s">
        <v>26</v>
      </c>
      <c r="B8" s="14" t="s">
        <v>27</v>
      </c>
      <c r="C8" s="14" t="s">
        <v>28</v>
      </c>
      <c r="D8" s="46">
        <f>SUM('Costs by Operating District'!K6, 'Costs by Operating District'!K17)</f>
        <v>96142696.345000044</v>
      </c>
      <c r="E8" s="16" t="s">
        <v>29</v>
      </c>
    </row>
    <row r="9" spans="1:5" ht="94.5" x14ac:dyDescent="0.25">
      <c r="A9" s="14" t="s">
        <v>30</v>
      </c>
      <c r="B9" s="14" t="s">
        <v>31</v>
      </c>
      <c r="C9" s="32" t="s">
        <v>32</v>
      </c>
      <c r="D9" s="45">
        <v>16.150237027893606</v>
      </c>
      <c r="E9" s="14" t="s">
        <v>33</v>
      </c>
    </row>
    <row r="10" spans="1:5" ht="110.25" x14ac:dyDescent="0.25">
      <c r="A10" s="14" t="s">
        <v>34</v>
      </c>
      <c r="B10" s="14" t="s">
        <v>6</v>
      </c>
      <c r="C10" s="15" t="s">
        <v>35</v>
      </c>
      <c r="D10" s="38">
        <f>'Costs by Operating District'!K23</f>
        <v>48.490976000000003</v>
      </c>
      <c r="E10" s="16" t="s">
        <v>36</v>
      </c>
    </row>
    <row r="11" spans="1:5" ht="110.25" x14ac:dyDescent="0.25">
      <c r="A11" s="14" t="s">
        <v>37</v>
      </c>
      <c r="B11" s="14" t="s">
        <v>23</v>
      </c>
      <c r="C11" s="15" t="s">
        <v>38</v>
      </c>
      <c r="D11" s="38">
        <f>'Costs by Operating District'!K7</f>
        <v>499.70712000000003</v>
      </c>
      <c r="E11" s="16" t="s">
        <v>39</v>
      </c>
    </row>
    <row r="12" spans="1:5" x14ac:dyDescent="0.25">
      <c r="A12" s="5"/>
      <c r="B12" s="5"/>
      <c r="C12" s="5"/>
      <c r="D12" s="5"/>
      <c r="E12" s="5"/>
    </row>
    <row r="13" spans="1:5" x14ac:dyDescent="0.25">
      <c r="A13" s="5"/>
      <c r="B13" s="5"/>
      <c r="C13" s="5"/>
      <c r="D13" s="5"/>
      <c r="E13" s="5"/>
    </row>
    <row r="14" spans="1:5" ht="48.75" customHeight="1" x14ac:dyDescent="0.25">
      <c r="A14" s="47" t="s">
        <v>40</v>
      </c>
      <c r="B14" s="47"/>
      <c r="C14" s="47"/>
      <c r="D14" s="47"/>
      <c r="E14" s="47"/>
    </row>
    <row r="15" spans="1:5" ht="47.45" customHeight="1" x14ac:dyDescent="0.25">
      <c r="A15" s="47" t="s">
        <v>41</v>
      </c>
      <c r="B15" s="47"/>
      <c r="C15" s="47"/>
      <c r="D15" s="47"/>
      <c r="E15" s="47"/>
    </row>
    <row r="16" spans="1:5" ht="41.25" customHeight="1" x14ac:dyDescent="0.25">
      <c r="A16" s="48" t="s">
        <v>42</v>
      </c>
      <c r="B16" s="48"/>
      <c r="C16" s="48"/>
      <c r="D16" s="48"/>
      <c r="E16" s="48"/>
    </row>
    <row r="17" spans="1:5" ht="39" customHeight="1" x14ac:dyDescent="0.25">
      <c r="A17" s="48" t="s">
        <v>43</v>
      </c>
      <c r="B17" s="48"/>
      <c r="C17" s="48"/>
      <c r="D17" s="48"/>
      <c r="E17" s="48"/>
    </row>
    <row r="18" spans="1:5" ht="69" customHeight="1" x14ac:dyDescent="0.25">
      <c r="A18" s="48" t="s">
        <v>44</v>
      </c>
      <c r="B18" s="48"/>
      <c r="C18" s="48"/>
      <c r="D18" s="48"/>
      <c r="E18" s="48"/>
    </row>
  </sheetData>
  <mergeCells count="5">
    <mergeCell ref="A14:E14"/>
    <mergeCell ref="A15:E15"/>
    <mergeCell ref="A16:E16"/>
    <mergeCell ref="A17:E17"/>
    <mergeCell ref="A18:E18"/>
  </mergeCells>
  <conditionalFormatting sqref="E2:E1048576">
    <cfRule type="containsText" dxfId="2" priority="1" operator="containsText" text="Calculated">
      <formula>NOT(ISERROR(SEARCH("Calculated",E2)))</formula>
    </cfRule>
  </conditionalFormatting>
  <hyperlinks>
    <hyperlink ref="A14" r:id="rId1" location="_ftnref1" display="_ftnref1" xr:uid="{AB48F987-8E73-4913-82E7-C27B8A8874F0}"/>
    <hyperlink ref="A15" r:id="rId2" location="_ftnref2" display="_ftnref2" xr:uid="{9BB3D5F0-5B8A-4DEC-B974-B9D07A666DFE}"/>
    <hyperlink ref="E3" r:id="rId3" location="_ftn1" display="_ftn1" xr:uid="{73BE6466-791B-436C-9473-BC201CBFAAC8}"/>
    <hyperlink ref="E7" r:id="rId4" location="_ftn2" display="_ftn2" xr:uid="{6F7B1A5F-D444-44AC-9B57-2CF6C279F18F}"/>
    <hyperlink ref="E1" r:id="rId5" location="'Summary'!A16" xr:uid="{257D08DD-06D6-4EAF-8C13-CA36FC0E58EB}"/>
    <hyperlink ref="B3" r:id="rId6" location="'Summary'!A17" xr:uid="{69D4B21E-189D-4507-BA1A-0C1AD43BAC67}"/>
    <hyperlink ref="C9" r:id="rId7" location="'Summary'!A18" xr:uid="{5FFCEAEB-F91E-4F6D-9EEA-0DC7AF095D57}"/>
  </hyperlinks>
  <printOptions horizontalCentered="1"/>
  <pageMargins left="0.25" right="0.25" top="0.75" bottom="0.75" header="0.3" footer="0.3"/>
  <pageSetup fitToWidth="0" fitToHeight="0" orientation="portrait" r:id="rId8"/>
  <customProperties>
    <customPr name="_pios_id" r:id="rId9"/>
  </customPropertie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K31"/>
  <sheetViews>
    <sheetView zoomScaleNormal="100" workbookViewId="0">
      <pane ySplit="1" topLeftCell="A2" activePane="bottomLeft" state="frozen"/>
      <selection pane="bottomLeft" activeCell="E14" sqref="E14:I15"/>
    </sheetView>
  </sheetViews>
  <sheetFormatPr defaultColWidth="8.7109375" defaultRowHeight="15.75" x14ac:dyDescent="0.25"/>
  <cols>
    <col min="1" max="1" width="11.140625" style="21" customWidth="1"/>
    <col min="2" max="2" width="16.7109375" style="21" customWidth="1"/>
    <col min="3" max="3" width="14.85546875" style="21" customWidth="1"/>
    <col min="4" max="4" width="32.140625" style="21" customWidth="1"/>
    <col min="5" max="7" width="16.7109375" style="21" bestFit="1" customWidth="1"/>
    <col min="8" max="8" width="17.85546875" style="21" bestFit="1" customWidth="1"/>
    <col min="9" max="9" width="16.7109375" style="21" bestFit="1" customWidth="1"/>
    <col min="10" max="10" width="7.42578125" style="21" customWidth="1"/>
    <col min="11" max="11" width="17" style="21" customWidth="1"/>
    <col min="12" max="16384" width="8.7109375" style="21"/>
  </cols>
  <sheetData>
    <row r="1" spans="1:11" ht="102" customHeight="1" x14ac:dyDescent="0.25">
      <c r="A1" s="20" t="s">
        <v>0</v>
      </c>
      <c r="B1" s="20" t="s">
        <v>1</v>
      </c>
      <c r="C1" s="20" t="s">
        <v>2</v>
      </c>
      <c r="D1" s="20" t="s">
        <v>45</v>
      </c>
      <c r="E1" s="20" t="s">
        <v>46</v>
      </c>
      <c r="F1" s="20" t="s">
        <v>47</v>
      </c>
      <c r="G1" s="20" t="s">
        <v>48</v>
      </c>
      <c r="H1" s="20" t="s">
        <v>49</v>
      </c>
      <c r="I1" s="20" t="s">
        <v>50</v>
      </c>
      <c r="J1" s="20" t="s">
        <v>51</v>
      </c>
      <c r="K1" s="20" t="s">
        <v>52</v>
      </c>
    </row>
    <row r="2" spans="1:11" ht="63" x14ac:dyDescent="0.25">
      <c r="A2" s="22" t="s">
        <v>53</v>
      </c>
      <c r="B2" s="28" t="s">
        <v>23</v>
      </c>
      <c r="C2" s="23" t="s">
        <v>11</v>
      </c>
      <c r="D2" s="22" t="s">
        <v>54</v>
      </c>
      <c r="E2" s="39">
        <f>E6/E4</f>
        <v>14415.143333333333</v>
      </c>
      <c r="F2" s="39">
        <f t="shared" ref="F2:I2" si="0">F6/F4</f>
        <v>27577.814285714285</v>
      </c>
      <c r="G2" s="39">
        <f t="shared" si="0"/>
        <v>31906.72094736842</v>
      </c>
      <c r="H2" s="39">
        <f t="shared" si="0"/>
        <v>33376.365862068968</v>
      </c>
      <c r="I2" s="39">
        <f t="shared" si="0"/>
        <v>18015.735000000001</v>
      </c>
      <c r="J2" s="22"/>
      <c r="K2" s="40">
        <f>K6/K4</f>
        <v>29127.805689655175</v>
      </c>
    </row>
    <row r="3" spans="1:11" ht="63" x14ac:dyDescent="0.25">
      <c r="A3" s="22" t="s">
        <v>55</v>
      </c>
      <c r="B3" s="28" t="s">
        <v>23</v>
      </c>
      <c r="C3" s="22" t="s">
        <v>56</v>
      </c>
      <c r="D3" s="22" t="s">
        <v>57</v>
      </c>
      <c r="E3" s="39">
        <f>E6/E5</f>
        <v>328280.08603238867</v>
      </c>
      <c r="F3" s="39">
        <f t="shared" ref="F3:I3" si="1">F6/F5</f>
        <v>537971.15552427876</v>
      </c>
      <c r="G3" s="39">
        <f t="shared" si="1"/>
        <v>675869.26730288973</v>
      </c>
      <c r="H3" s="39">
        <f t="shared" si="1"/>
        <v>644625.27003027243</v>
      </c>
      <c r="I3" s="39">
        <f t="shared" si="1"/>
        <v>688306.52555971581</v>
      </c>
      <c r="J3" s="22"/>
      <c r="K3" s="40">
        <f>K6/K5</f>
        <v>634997.38740871719</v>
      </c>
    </row>
    <row r="4" spans="1:11" ht="63" x14ac:dyDescent="0.25">
      <c r="A4" s="22" t="s">
        <v>58</v>
      </c>
      <c r="B4" s="27" t="s">
        <v>10</v>
      </c>
      <c r="C4" s="22" t="s">
        <v>24</v>
      </c>
      <c r="D4" s="22" t="s">
        <v>59</v>
      </c>
      <c r="E4" s="41">
        <v>2.25</v>
      </c>
      <c r="F4" s="41">
        <v>5.25</v>
      </c>
      <c r="G4" s="41">
        <v>23.75</v>
      </c>
      <c r="H4" s="41">
        <v>7.25</v>
      </c>
      <c r="I4" s="41">
        <v>5</v>
      </c>
      <c r="J4" s="22"/>
      <c r="K4" s="41">
        <f>SUM(E4:I4)</f>
        <v>43.5</v>
      </c>
    </row>
    <row r="5" spans="1:11" ht="63" x14ac:dyDescent="0.25">
      <c r="A5" s="22" t="s">
        <v>60</v>
      </c>
      <c r="B5" s="27" t="s">
        <v>61</v>
      </c>
      <c r="C5" s="22" t="s">
        <v>62</v>
      </c>
      <c r="D5" s="22" t="s">
        <v>63</v>
      </c>
      <c r="E5" s="41">
        <v>9.8799999999999999E-2</v>
      </c>
      <c r="F5" s="41">
        <v>0.26912878787878786</v>
      </c>
      <c r="G5" s="41">
        <v>1.1212</v>
      </c>
      <c r="H5" s="41">
        <v>0.37537878787878787</v>
      </c>
      <c r="I5" s="41">
        <v>0.13086999999999999</v>
      </c>
      <c r="J5" s="41"/>
      <c r="K5" s="41">
        <f>SUM(E5:I5)</f>
        <v>1.9953775757575756</v>
      </c>
    </row>
    <row r="6" spans="1:11" ht="173.25" x14ac:dyDescent="0.25">
      <c r="A6" s="22" t="s">
        <v>64</v>
      </c>
      <c r="B6" s="27" t="s">
        <v>10</v>
      </c>
      <c r="C6" s="22" t="s">
        <v>65</v>
      </c>
      <c r="D6" s="22" t="s">
        <v>66</v>
      </c>
      <c r="E6" s="39">
        <f>(129.73629*1000)/4</f>
        <v>32434.072499999998</v>
      </c>
      <c r="F6" s="39">
        <f>(579.1341*1000)/4</f>
        <v>144783.52499999999</v>
      </c>
      <c r="G6" s="39">
        <f>(3031.13849*1000)/4</f>
        <v>757784.62249999994</v>
      </c>
      <c r="H6" s="39">
        <f>(967.91461*1000)/4</f>
        <v>241978.6525</v>
      </c>
      <c r="I6" s="39">
        <f>(360.3147*1000)/4</f>
        <v>90078.675000000003</v>
      </c>
      <c r="J6" s="22"/>
      <c r="K6" s="40">
        <f>SUM(E6:I6)</f>
        <v>1267059.5475000001</v>
      </c>
    </row>
    <row r="7" spans="1:11" ht="78.75" x14ac:dyDescent="0.25">
      <c r="A7" s="22" t="s">
        <v>67</v>
      </c>
      <c r="B7" s="27" t="s">
        <v>10</v>
      </c>
      <c r="C7" s="23" t="s">
        <v>38</v>
      </c>
      <c r="D7" s="22" t="s">
        <v>68</v>
      </c>
      <c r="E7" s="41">
        <v>604.88800000000003</v>
      </c>
      <c r="F7" s="41">
        <v>580.08330000000001</v>
      </c>
      <c r="G7" s="41">
        <v>258.52300000000002</v>
      </c>
      <c r="H7" s="41">
        <v>505.20800000000003</v>
      </c>
      <c r="I7" s="41">
        <v>549.83330000000001</v>
      </c>
      <c r="J7" s="24"/>
      <c r="K7" s="41">
        <f>AVERAGE(E7:I7)</f>
        <v>499.70712000000003</v>
      </c>
    </row>
    <row r="8" spans="1:11" ht="94.5" x14ac:dyDescent="0.25">
      <c r="A8" s="22" t="s">
        <v>69</v>
      </c>
      <c r="B8" s="27" t="s">
        <v>10</v>
      </c>
      <c r="C8" s="22" t="s">
        <v>70</v>
      </c>
      <c r="D8" s="22" t="s">
        <v>71</v>
      </c>
      <c r="E8" s="41">
        <v>884.22220000000004</v>
      </c>
      <c r="F8" s="41">
        <v>779.25</v>
      </c>
      <c r="G8" s="41">
        <v>1047.6980000000001</v>
      </c>
      <c r="H8" s="41">
        <v>888.45830000000001</v>
      </c>
      <c r="I8" s="41">
        <v>874.1</v>
      </c>
      <c r="J8" s="22"/>
      <c r="K8" s="41">
        <f>AVERAGE(E8:I8)</f>
        <v>894.74570000000017</v>
      </c>
    </row>
    <row r="9" spans="1:11" ht="31.5" x14ac:dyDescent="0.25">
      <c r="A9" s="22" t="s">
        <v>72</v>
      </c>
      <c r="B9" s="28"/>
      <c r="C9" s="22"/>
      <c r="D9" s="22"/>
      <c r="E9" s="22"/>
      <c r="F9" s="22"/>
      <c r="G9" s="22"/>
      <c r="H9" s="22"/>
      <c r="I9" s="22"/>
      <c r="J9" s="22"/>
      <c r="K9" s="22"/>
    </row>
    <row r="10" spans="1:11" ht="78.75" x14ac:dyDescent="0.25">
      <c r="A10" s="22" t="s">
        <v>73</v>
      </c>
      <c r="B10" s="28" t="s">
        <v>6</v>
      </c>
      <c r="C10" s="23" t="s">
        <v>7</v>
      </c>
      <c r="D10" s="22" t="s">
        <v>74</v>
      </c>
      <c r="E10" s="25">
        <f>E17/E14</f>
        <v>21834.368454916217</v>
      </c>
      <c r="F10" s="25">
        <f t="shared" ref="F10:I10" si="2">F17/F14</f>
        <v>21988.205572298815</v>
      </c>
      <c r="G10" s="25">
        <f t="shared" si="2"/>
        <v>27620.216177963568</v>
      </c>
      <c r="H10" s="25">
        <f t="shared" si="2"/>
        <v>24245.102880988514</v>
      </c>
      <c r="I10" s="25">
        <f t="shared" si="2"/>
        <v>28072.172721153886</v>
      </c>
      <c r="J10" s="22"/>
      <c r="K10" s="39">
        <f>K17/K14</f>
        <v>24694.335449635619</v>
      </c>
    </row>
    <row r="11" spans="1:11" ht="78.75" x14ac:dyDescent="0.25">
      <c r="A11" s="22" t="s">
        <v>75</v>
      </c>
      <c r="B11" s="28" t="s">
        <v>6</v>
      </c>
      <c r="C11" s="22" t="s">
        <v>14</v>
      </c>
      <c r="D11" s="22" t="s">
        <v>76</v>
      </c>
      <c r="E11" s="25">
        <f>E17/E15</f>
        <v>2292286.7082104506</v>
      </c>
      <c r="F11" s="25">
        <f t="shared" ref="F11:I11" si="3">F17/F15</f>
        <v>2435066.5097287321</v>
      </c>
      <c r="G11" s="25">
        <f t="shared" si="3"/>
        <v>3599365.8889450943</v>
      </c>
      <c r="H11" s="25">
        <f t="shared" si="3"/>
        <v>2969878.6369792088</v>
      </c>
      <c r="I11" s="25">
        <f t="shared" si="3"/>
        <v>2777572.032156792</v>
      </c>
      <c r="J11" s="22"/>
      <c r="K11" s="39">
        <f>K17/K15</f>
        <v>2841311.0162017294</v>
      </c>
    </row>
    <row r="12" spans="1:11" ht="63" x14ac:dyDescent="0.25">
      <c r="A12" s="22" t="s">
        <v>77</v>
      </c>
      <c r="B12" s="28" t="s">
        <v>6</v>
      </c>
      <c r="C12" s="22" t="s">
        <v>17</v>
      </c>
      <c r="D12" s="22" t="s">
        <v>78</v>
      </c>
      <c r="E12" s="25">
        <f>E14/E13</f>
        <v>3.2599704579025111</v>
      </c>
      <c r="F12" s="25">
        <f t="shared" ref="F12:I12" si="4">F14/F13</f>
        <v>8.6160220994475143</v>
      </c>
      <c r="G12" s="25">
        <f t="shared" si="4"/>
        <v>2.6307934014139827</v>
      </c>
      <c r="H12" s="25">
        <f t="shared" si="4"/>
        <v>6.2253711201079618</v>
      </c>
      <c r="I12" s="25">
        <f t="shared" si="4"/>
        <v>3.6619718309859155</v>
      </c>
      <c r="J12" s="22"/>
      <c r="K12" s="41">
        <f>K14/K13</f>
        <v>4.244131455399061</v>
      </c>
    </row>
    <row r="13" spans="1:11" ht="100.5" customHeight="1" x14ac:dyDescent="0.25">
      <c r="A13" s="22" t="s">
        <v>79</v>
      </c>
      <c r="B13" s="27" t="s">
        <v>80</v>
      </c>
      <c r="C13" s="22" t="s">
        <v>20</v>
      </c>
      <c r="D13" s="22" t="s">
        <v>81</v>
      </c>
      <c r="E13" s="41">
        <v>169.25</v>
      </c>
      <c r="F13" s="41">
        <v>90.5</v>
      </c>
      <c r="G13" s="41">
        <v>318.25</v>
      </c>
      <c r="H13" s="41">
        <v>185.25</v>
      </c>
      <c r="I13" s="41">
        <v>142</v>
      </c>
      <c r="J13" s="22"/>
      <c r="K13" s="41">
        <f>SUM(E13:I13)</f>
        <v>905.25</v>
      </c>
    </row>
    <row r="14" spans="1:11" ht="99.75" customHeight="1" x14ac:dyDescent="0.25">
      <c r="A14" s="22" t="s">
        <v>82</v>
      </c>
      <c r="B14" s="44" t="s">
        <v>80</v>
      </c>
      <c r="C14" s="22" t="s">
        <v>83</v>
      </c>
      <c r="D14" s="22" t="s">
        <v>84</v>
      </c>
      <c r="E14" s="55">
        <f>2207/4</f>
        <v>551.75</v>
      </c>
      <c r="F14" s="55">
        <f>3119/4</f>
        <v>779.75</v>
      </c>
      <c r="G14" s="55">
        <f>3349/4</f>
        <v>837.25</v>
      </c>
      <c r="H14" s="55">
        <f>4613/4</f>
        <v>1153.25</v>
      </c>
      <c r="I14" s="55">
        <f>2080/4</f>
        <v>520</v>
      </c>
      <c r="J14" s="22"/>
      <c r="K14" s="22">
        <f>SUM(E14:I14)</f>
        <v>3842</v>
      </c>
    </row>
    <row r="15" spans="1:11" ht="96.75" customHeight="1" x14ac:dyDescent="0.25">
      <c r="A15" s="22" t="s">
        <v>85</v>
      </c>
      <c r="B15" s="44" t="s">
        <v>80</v>
      </c>
      <c r="C15" s="22" t="s">
        <v>86</v>
      </c>
      <c r="D15" s="22" t="s">
        <v>87</v>
      </c>
      <c r="E15" s="56">
        <f>21.022/4</f>
        <v>5.2554999999999996</v>
      </c>
      <c r="F15" s="56">
        <f>28.164/4</f>
        <v>7.0410000000000004</v>
      </c>
      <c r="G15" s="56">
        <f>25.699/4</f>
        <v>6.4247500000000004</v>
      </c>
      <c r="H15" s="56">
        <f>37.659/4</f>
        <v>9.4147499999999997</v>
      </c>
      <c r="I15" s="56">
        <f>21.022/4</f>
        <v>5.2554999999999996</v>
      </c>
      <c r="J15" s="41"/>
      <c r="K15" s="41">
        <f>SUM(E15:I15)</f>
        <v>33.391500000000001</v>
      </c>
    </row>
    <row r="16" spans="1:11" ht="100.5" customHeight="1" x14ac:dyDescent="0.25">
      <c r="A16" s="22" t="s">
        <v>88</v>
      </c>
      <c r="B16" s="44" t="s">
        <v>80</v>
      </c>
      <c r="C16" s="22" t="s">
        <v>89</v>
      </c>
      <c r="D16" s="22" t="s">
        <v>90</v>
      </c>
      <c r="E16" s="41">
        <v>20.946000000000002</v>
      </c>
      <c r="F16" s="41">
        <v>28.751999999999999</v>
      </c>
      <c r="G16" s="41">
        <v>30.408000000000001</v>
      </c>
      <c r="H16" s="41">
        <v>33.506</v>
      </c>
      <c r="I16" s="41">
        <v>18.696000000000002</v>
      </c>
      <c r="J16" s="41"/>
      <c r="K16" s="41">
        <f>SUM(E16:I16)</f>
        <v>132.30799999999999</v>
      </c>
    </row>
    <row r="17" spans="1:11" ht="78.75" x14ac:dyDescent="0.25">
      <c r="A17" s="22" t="s">
        <v>91</v>
      </c>
      <c r="B17" s="28" t="s">
        <v>6</v>
      </c>
      <c r="C17" s="22" t="s">
        <v>92</v>
      </c>
      <c r="D17" s="22" t="s">
        <v>93</v>
      </c>
      <c r="E17" s="39">
        <f>SUM(E19:E22)</f>
        <v>12047112.795000022</v>
      </c>
      <c r="F17" s="39">
        <f>SUM(F19:F22)</f>
        <v>17145303.295000002</v>
      </c>
      <c r="G17" s="39">
        <f>SUM(G19:G22)</f>
        <v>23125025.994999997</v>
      </c>
      <c r="H17" s="39">
        <f>SUM(H19:H22)</f>
        <v>27960664.897500005</v>
      </c>
      <c r="I17" s="39">
        <f>SUM(I19:I22)</f>
        <v>14597529.81500002</v>
      </c>
      <c r="J17" s="22"/>
      <c r="K17" s="40">
        <f>E17+F17+G17+H17+I17</f>
        <v>94875636.797500044</v>
      </c>
    </row>
    <row r="18" spans="1:11" ht="63" x14ac:dyDescent="0.25">
      <c r="A18" s="22" t="s">
        <v>94</v>
      </c>
      <c r="B18" s="28" t="s">
        <v>6</v>
      </c>
      <c r="C18" s="22" t="s">
        <v>95</v>
      </c>
      <c r="D18" s="22"/>
      <c r="E18" s="22"/>
      <c r="F18" s="22"/>
      <c r="G18" s="22"/>
      <c r="H18" s="22"/>
      <c r="I18" s="22"/>
      <c r="J18" s="22"/>
      <c r="K18" s="22"/>
    </row>
    <row r="19" spans="1:11" ht="108" customHeight="1" x14ac:dyDescent="0.25">
      <c r="A19" s="22" t="s">
        <v>96</v>
      </c>
      <c r="B19" s="27" t="s">
        <v>80</v>
      </c>
      <c r="C19" s="22" t="s">
        <v>97</v>
      </c>
      <c r="D19" s="22" t="s">
        <v>98</v>
      </c>
      <c r="E19" s="39">
        <f>(4854.78968999999*1000)/4</f>
        <v>1213697.4224999973</v>
      </c>
      <c r="F19" s="39">
        <f>(3684.00061*1000)/4</f>
        <v>921000.15249999997</v>
      </c>
      <c r="G19" s="39">
        <f>(16018.71705*1000)/4</f>
        <v>4004679.2624999997</v>
      </c>
      <c r="H19" s="39">
        <f>(7985.18658000001*1000)/4</f>
        <v>1996296.6450000023</v>
      </c>
      <c r="I19" s="39">
        <f>(8165.50454999998*1000)/4</f>
        <v>2041376.1374999948</v>
      </c>
      <c r="J19" s="22"/>
      <c r="K19" s="40">
        <f>SUM(E19:I19)</f>
        <v>10177049.619999994</v>
      </c>
    </row>
    <row r="20" spans="1:11" ht="111" customHeight="1" x14ac:dyDescent="0.25">
      <c r="A20" s="22" t="s">
        <v>99</v>
      </c>
      <c r="B20" s="27" t="s">
        <v>80</v>
      </c>
      <c r="C20" s="22" t="s">
        <v>100</v>
      </c>
      <c r="D20" s="22" t="s">
        <v>101</v>
      </c>
      <c r="E20" s="39">
        <f>(41024.9499600001*1000)/4</f>
        <v>10256237.490000024</v>
      </c>
      <c r="F20" s="39">
        <f>(61919.47237*1000)/4</f>
        <v>15479868.092500001</v>
      </c>
      <c r="G20" s="39">
        <f>(69995.08423*1000)/4</f>
        <v>17498771.057499997</v>
      </c>
      <c r="H20" s="39">
        <f>(99818.83301*1000)/4</f>
        <v>24954708.252500001</v>
      </c>
      <c r="I20" s="39">
        <f>(46971.9181700001*1000)/4</f>
        <v>11742979.542500025</v>
      </c>
      <c r="J20" s="22"/>
      <c r="K20" s="40">
        <f>SUM(E20:I20)</f>
        <v>79932564.435000047</v>
      </c>
    </row>
    <row r="21" spans="1:11" ht="100.5" customHeight="1" x14ac:dyDescent="0.25">
      <c r="A21" s="22" t="s">
        <v>102</v>
      </c>
      <c r="B21" s="27" t="s">
        <v>80</v>
      </c>
      <c r="C21" s="22" t="s">
        <v>103</v>
      </c>
      <c r="D21" s="22" t="s">
        <v>104</v>
      </c>
      <c r="E21" s="39">
        <f>(994.405309999999*1000)/4</f>
        <v>248601.32749999975</v>
      </c>
      <c r="F21" s="39">
        <f>(1201.42701*1000)/4</f>
        <v>300356.7525</v>
      </c>
      <c r="G21" s="39">
        <f>(2270.61385*1000)/4</f>
        <v>567653.46250000002</v>
      </c>
      <c r="H21" s="39">
        <f>(1906.65862*1000)/4</f>
        <v>476664.65499999997</v>
      </c>
      <c r="I21" s="39">
        <f>(1170.92767*1000)/4</f>
        <v>292731.91749999998</v>
      </c>
      <c r="J21" s="22"/>
      <c r="K21" s="40">
        <f>SUM(E21:I21)</f>
        <v>1886008.1149999998</v>
      </c>
    </row>
    <row r="22" spans="1:11" ht="105" customHeight="1" x14ac:dyDescent="0.25">
      <c r="A22" s="22" t="s">
        <v>105</v>
      </c>
      <c r="B22" s="27" t="s">
        <v>80</v>
      </c>
      <c r="C22" s="22" t="s">
        <v>106</v>
      </c>
      <c r="D22" s="22" t="s">
        <v>107</v>
      </c>
      <c r="E22" s="39">
        <f>(1314.30622*1000)/4</f>
        <v>328576.55499999999</v>
      </c>
      <c r="F22" s="39">
        <f>(1776.31319*1000)/4</f>
        <v>444078.29750000004</v>
      </c>
      <c r="G22" s="39">
        <f>(4215.68885000001*1000)/4</f>
        <v>1053922.2125000025</v>
      </c>
      <c r="H22" s="39">
        <f>(2131.98138*1000)/4</f>
        <v>532995.34500000009</v>
      </c>
      <c r="I22" s="39">
        <f>(2081.76887*1000)/4</f>
        <v>520442.21749999997</v>
      </c>
      <c r="J22" s="22"/>
      <c r="K22" s="40">
        <f>SUM(E22:I22)</f>
        <v>2880014.6275000023</v>
      </c>
    </row>
    <row r="23" spans="1:11" ht="99.75" customHeight="1" x14ac:dyDescent="0.25">
      <c r="A23" s="22" t="s">
        <v>108</v>
      </c>
      <c r="B23" s="27" t="s">
        <v>80</v>
      </c>
      <c r="C23" s="23" t="s">
        <v>35</v>
      </c>
      <c r="D23" s="22" t="s">
        <v>109</v>
      </c>
      <c r="E23" s="41">
        <v>23.488</v>
      </c>
      <c r="F23" s="41">
        <v>82.540999999999997</v>
      </c>
      <c r="G23" s="41">
        <v>35.190800000000003</v>
      </c>
      <c r="H23" s="41">
        <v>70.221000000000004</v>
      </c>
      <c r="I23" s="41">
        <v>31.01408</v>
      </c>
      <c r="J23" s="22"/>
      <c r="K23" s="41">
        <f>AVERAGE(E23:I23)</f>
        <v>48.490976000000003</v>
      </c>
    </row>
    <row r="24" spans="1:11" ht="101.25" customHeight="1" x14ac:dyDescent="0.25">
      <c r="A24" s="22" t="s">
        <v>110</v>
      </c>
      <c r="B24" s="27" t="s">
        <v>80</v>
      </c>
      <c r="C24" s="22" t="s">
        <v>111</v>
      </c>
      <c r="D24" s="22" t="s">
        <v>112</v>
      </c>
      <c r="E24" s="41">
        <v>34.817999999999998</v>
      </c>
      <c r="F24" s="41">
        <v>112.099</v>
      </c>
      <c r="G24" s="41">
        <v>60.091000000000001</v>
      </c>
      <c r="H24" s="41">
        <v>91.932000000000002</v>
      </c>
      <c r="I24" s="41">
        <v>50.554000000000002</v>
      </c>
      <c r="J24" s="22"/>
      <c r="K24" s="41">
        <f>AVERAGE(E24:I24)</f>
        <v>69.898800000000008</v>
      </c>
    </row>
    <row r="25" spans="1:11" x14ac:dyDescent="0.25">
      <c r="A25" s="26"/>
      <c r="B25" s="26"/>
      <c r="C25" s="26"/>
      <c r="D25" s="26"/>
    </row>
    <row r="26" spans="1:11" x14ac:dyDescent="0.25">
      <c r="A26" s="26"/>
      <c r="B26" s="26"/>
      <c r="C26" s="26"/>
      <c r="D26" s="26"/>
    </row>
    <row r="27" spans="1:11" s="29" customFormat="1" ht="49.5" customHeight="1" x14ac:dyDescent="0.25">
      <c r="A27" s="49" t="s">
        <v>113</v>
      </c>
      <c r="B27" s="49"/>
      <c r="C27" s="49"/>
      <c r="D27" s="49"/>
      <c r="E27" s="49"/>
    </row>
    <row r="28" spans="1:11" s="29" customFormat="1" ht="57" customHeight="1" x14ac:dyDescent="0.25">
      <c r="A28" s="49" t="s">
        <v>114</v>
      </c>
      <c r="B28" s="49"/>
      <c r="C28" s="49"/>
      <c r="D28" s="49"/>
      <c r="E28" s="49"/>
    </row>
    <row r="29" spans="1:11" s="29" customFormat="1" ht="57.75" customHeight="1" x14ac:dyDescent="0.25">
      <c r="A29" s="49" t="s">
        <v>115</v>
      </c>
      <c r="B29" s="49"/>
      <c r="C29" s="49"/>
      <c r="D29" s="49"/>
      <c r="E29" s="49"/>
    </row>
    <row r="30" spans="1:11" s="29" customFormat="1" ht="26.25" customHeight="1" x14ac:dyDescent="0.25">
      <c r="A30" s="50" t="s">
        <v>116</v>
      </c>
      <c r="B30" s="50"/>
      <c r="C30" s="50"/>
      <c r="D30" s="50"/>
      <c r="E30" s="50"/>
    </row>
    <row r="31" spans="1:11" s="30" customFormat="1" ht="33" customHeight="1" x14ac:dyDescent="0.25">
      <c r="A31" s="51" t="s">
        <v>117</v>
      </c>
      <c r="B31" s="51"/>
      <c r="C31" s="51"/>
      <c r="D31" s="51"/>
      <c r="E31" s="51"/>
      <c r="F31" s="29"/>
      <c r="G31" s="29"/>
      <c r="H31" s="29"/>
      <c r="I31" s="29"/>
      <c r="J31" s="29"/>
      <c r="K31" s="29"/>
    </row>
  </sheetData>
  <mergeCells count="5">
    <mergeCell ref="A27:E27"/>
    <mergeCell ref="A28:E28"/>
    <mergeCell ref="A29:E29"/>
    <mergeCell ref="A30:E30"/>
    <mergeCell ref="A31:E31"/>
  </mergeCells>
  <conditionalFormatting sqref="D4:D5 D7:D9 D13:D16 D18:D1048576">
    <cfRule type="containsText" dxfId="1" priority="1" operator="containsText" text="Calculated">
      <formula>NOT(ISERROR(SEARCH("Calculated",D4)))</formula>
    </cfRule>
  </conditionalFormatting>
  <dataValidations disablePrompts="1" count="2">
    <dataValidation allowBlank="1" showErrorMessage="1" sqref="B4" xr:uid="{EC897ADF-950A-4F18-8379-3AE5FC7CF302}"/>
    <dataValidation allowBlank="1" showInputMessage="1" showErrorMessage="1" sqref="A4" xr:uid="{C470F0A1-CF26-45D1-A1EE-CA780D46B6F2}"/>
  </dataValidations>
  <hyperlinks>
    <hyperlink ref="A27" r:id="rId1" location="_ftnref1" display="_ftnref1" xr:uid="{D18EC149-BA04-4D0C-BD8D-571E2A508F27}"/>
    <hyperlink ref="A28" r:id="rId2" location="_ftnref2" display="_ftnref2" xr:uid="{7CD6CECE-B5A8-41C8-9A11-B3F1B9ED1CF7}"/>
    <hyperlink ref="D4" r:id="rId3" location="_ftn2" display="_ftn2" xr:uid="{1564FF55-1357-40B9-A2F4-6EB0C50C9AB7}"/>
    <hyperlink ref="D2" r:id="rId4" location="_ftn1" display="_ftn1" xr:uid="{6B715C32-8FFB-4998-B077-5FEA6F80EF3E}"/>
    <hyperlink ref="B4" r:id="rId5" location="'Costs by Operating District'!A30" xr:uid="{F7EBF5F4-A461-42AD-B17C-D3B49FEDE25F}"/>
    <hyperlink ref="B5" r:id="rId6" location="'Costs by Operating District'!A30" xr:uid="{79CB99F9-5ADC-4A86-AD37-0A0F482DEBDD}"/>
    <hyperlink ref="B6" r:id="rId7" location="'Costs by Operating District'!A30" xr:uid="{62F087DB-24B1-4448-9CEF-EAE73FB775D6}"/>
    <hyperlink ref="B7" r:id="rId8" location="'Costs by Operating District'!A30" xr:uid="{9FE457B7-6EE0-4EA8-A425-2FA60597F2CA}"/>
    <hyperlink ref="B8" r:id="rId9" location="'Costs by Operating District'!A30" xr:uid="{A7DA68EC-9A01-4369-A0E8-9D6525579F39}"/>
    <hyperlink ref="B13" r:id="rId10" location="'Costs by Operating District'!A29" xr:uid="{6C9157A4-ADAA-4A34-A3A5-4EED9856BDEA}"/>
    <hyperlink ref="B14" r:id="rId11" location="'Costs by Operating District'!A29" xr:uid="{698D8600-963E-4287-AC00-C14B6DE0424B}"/>
    <hyperlink ref="B15" r:id="rId12" location="'Costs by Operating District'!A29" xr:uid="{7BE5183C-5931-4CA0-9922-5B5818CAC1D1}"/>
    <hyperlink ref="B16" r:id="rId13" location="'Costs by Operating District'!A29" xr:uid="{F74902ED-5242-4815-9F45-C8FB15A757D7}"/>
    <hyperlink ref="B19" r:id="rId14" location="'Costs by Operating District'!A29" xr:uid="{2A0AAD93-553A-4BBE-A32F-F3E070436C16}"/>
    <hyperlink ref="B20" r:id="rId15" location="'Costs by Operating District'!A29" xr:uid="{527EDE8E-6BC4-4B3C-9357-4EF0B4376065}"/>
    <hyperlink ref="B21" r:id="rId16" location="'Costs by Operating District'!A29" xr:uid="{76FFCD3E-3698-4733-97FE-F059BDE1179F}"/>
    <hyperlink ref="B22" r:id="rId17" location="'Costs by Operating District'!A29" xr:uid="{32FEBD00-D735-44D1-8041-0BE92D900099}"/>
    <hyperlink ref="B23" r:id="rId18" location="'Costs by Operating District'!A29" xr:uid="{5BEDE9D1-2910-4D45-B8F3-FCC8BE5BBA36}"/>
    <hyperlink ref="B24" r:id="rId19" location="'Costs by Operating District'!A29" xr:uid="{C4E3F910-5B28-46FC-A09E-B71E9B317A4C}"/>
    <hyperlink ref="D1" r:id="rId20" location="'Costs by Operating District'!A31" xr:uid="{834B6BF0-1A70-4ADB-8AC9-2A4CCF40BB96}"/>
  </hyperlinks>
  <printOptions horizontalCentered="1"/>
  <pageMargins left="0.25" right="0.25" top="0.75" bottom="0.75" header="0.3" footer="0.3"/>
  <pageSetup scale="72" fitToHeight="0" orientation="landscape" r:id="rId21"/>
  <customProperties>
    <customPr name="_pios_id" r:id="rId22"/>
  </customProperties>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K23"/>
  <sheetViews>
    <sheetView zoomScaleNormal="100" workbookViewId="0">
      <pane ySplit="1" topLeftCell="A14" activePane="bottomLeft" state="frozen"/>
      <selection pane="bottomLeft" activeCell="M4" sqref="M4"/>
    </sheetView>
  </sheetViews>
  <sheetFormatPr defaultColWidth="8.7109375" defaultRowHeight="15.75" x14ac:dyDescent="0.25"/>
  <cols>
    <col min="1" max="1" width="9.28515625" style="6" bestFit="1" customWidth="1"/>
    <col min="2" max="2" width="19.140625" style="6" customWidth="1"/>
    <col min="3" max="3" width="14.85546875" style="6" customWidth="1"/>
    <col min="4" max="4" width="32.140625" style="6" customWidth="1"/>
    <col min="5" max="8" width="20.140625" style="6" customWidth="1"/>
    <col min="9" max="9" width="17.85546875" style="6" bestFit="1" customWidth="1"/>
    <col min="10" max="10" width="6.42578125" style="6" customWidth="1"/>
    <col min="11" max="11" width="17.7109375" style="6" customWidth="1"/>
    <col min="12" max="16384" width="8.7109375" style="6"/>
  </cols>
  <sheetData>
    <row r="1" spans="1:11" ht="82.5" x14ac:dyDescent="0.25">
      <c r="A1" s="13" t="s">
        <v>0</v>
      </c>
      <c r="B1" s="13" t="s">
        <v>1</v>
      </c>
      <c r="C1" s="13" t="s">
        <v>2</v>
      </c>
      <c r="D1" s="13" t="s">
        <v>118</v>
      </c>
      <c r="E1" s="13" t="s">
        <v>119</v>
      </c>
      <c r="F1" s="13" t="s">
        <v>120</v>
      </c>
      <c r="G1" s="13" t="s">
        <v>121</v>
      </c>
      <c r="H1" s="13" t="s">
        <v>122</v>
      </c>
      <c r="I1" s="13" t="s">
        <v>123</v>
      </c>
      <c r="J1" s="13" t="s">
        <v>51</v>
      </c>
      <c r="K1" s="13" t="s">
        <v>124</v>
      </c>
    </row>
    <row r="2" spans="1:11" ht="78.75" x14ac:dyDescent="0.25">
      <c r="A2" s="14" t="s">
        <v>125</v>
      </c>
      <c r="B2" s="31" t="s">
        <v>6</v>
      </c>
      <c r="C2" s="15" t="s">
        <v>7</v>
      </c>
      <c r="D2" s="16" t="s">
        <v>126</v>
      </c>
      <c r="E2" s="17">
        <f>E9/E6</f>
        <v>6817.9843588048934</v>
      </c>
      <c r="F2" s="17">
        <f t="shared" ref="F2:K2" si="0">F9/F6</f>
        <v>7650.7028560371518</v>
      </c>
      <c r="G2" s="17">
        <f t="shared" si="0"/>
        <v>6484.6770938023456</v>
      </c>
      <c r="H2" s="17">
        <f t="shared" si="0"/>
        <v>7675.5528634039438</v>
      </c>
      <c r="I2" s="17">
        <f t="shared" si="0"/>
        <v>5784.2616403078082</v>
      </c>
      <c r="J2" s="17"/>
      <c r="K2" s="17">
        <f t="shared" si="0"/>
        <v>6173.5838624089047</v>
      </c>
    </row>
    <row r="3" spans="1:11" ht="78.75" x14ac:dyDescent="0.25">
      <c r="A3" s="14" t="s">
        <v>127</v>
      </c>
      <c r="B3" s="31" t="s">
        <v>6</v>
      </c>
      <c r="C3" s="14" t="s">
        <v>14</v>
      </c>
      <c r="D3" s="16" t="s">
        <v>128</v>
      </c>
      <c r="E3" s="18">
        <f>E9/E7</f>
        <v>2391543.0203116406</v>
      </c>
      <c r="F3" s="18">
        <f t="shared" ref="F3:K3" si="1">F9/F7</f>
        <v>604009.56757707626</v>
      </c>
      <c r="G3" s="18">
        <f t="shared" si="1"/>
        <v>850651.89654383156</v>
      </c>
      <c r="H3" s="18">
        <f t="shared" si="1"/>
        <v>920638.39561927505</v>
      </c>
      <c r="I3" s="18">
        <f t="shared" si="1"/>
        <v>588418.33065991744</v>
      </c>
      <c r="J3" s="18"/>
      <c r="K3" s="18">
        <f t="shared" si="1"/>
        <v>707448.99830390781</v>
      </c>
    </row>
    <row r="4" spans="1:11" ht="63" x14ac:dyDescent="0.25">
      <c r="A4" s="14" t="s">
        <v>129</v>
      </c>
      <c r="B4" s="31" t="s">
        <v>6</v>
      </c>
      <c r="C4" s="14" t="s">
        <v>17</v>
      </c>
      <c r="D4" s="16" t="s">
        <v>130</v>
      </c>
      <c r="E4" s="42">
        <f>E6/E5</f>
        <v>2.2511904761904762</v>
      </c>
      <c r="F4" s="42">
        <f t="shared" ref="F4:H4" si="2">F6/F5</f>
        <v>117.45454545454545</v>
      </c>
      <c r="G4" s="42">
        <f>G6/G5</f>
        <v>170.57142857142858</v>
      </c>
      <c r="H4" s="42">
        <f t="shared" si="2"/>
        <v>133.5609756097561</v>
      </c>
      <c r="I4" s="42">
        <f>I6/I5</f>
        <v>234.05524861878453</v>
      </c>
      <c r="J4" s="16"/>
      <c r="K4" s="42">
        <f>K6/K5</f>
        <v>84.882629107981217</v>
      </c>
    </row>
    <row r="5" spans="1:11" ht="63" x14ac:dyDescent="0.25">
      <c r="A5" s="14" t="s">
        <v>131</v>
      </c>
      <c r="B5" s="27" t="s">
        <v>80</v>
      </c>
      <c r="C5" s="14" t="s">
        <v>20</v>
      </c>
      <c r="D5" s="16" t="s">
        <v>132</v>
      </c>
      <c r="E5" s="42">
        <v>840</v>
      </c>
      <c r="F5" s="42">
        <v>2.75</v>
      </c>
      <c r="G5" s="42">
        <v>7</v>
      </c>
      <c r="H5" s="42">
        <v>10.25</v>
      </c>
      <c r="I5" s="42">
        <v>45.25</v>
      </c>
      <c r="J5" s="16"/>
      <c r="K5" s="42">
        <f>AVERAGE(E5:I5)</f>
        <v>181.05</v>
      </c>
    </row>
    <row r="6" spans="1:11" ht="94.5" x14ac:dyDescent="0.25">
      <c r="A6" s="33" t="s">
        <v>133</v>
      </c>
      <c r="B6" s="27" t="s">
        <v>80</v>
      </c>
      <c r="C6" s="14" t="s">
        <v>83</v>
      </c>
      <c r="D6" s="16" t="s">
        <v>84</v>
      </c>
      <c r="E6" s="16">
        <v>1891</v>
      </c>
      <c r="F6" s="16">
        <v>323</v>
      </c>
      <c r="G6" s="16">
        <v>1194</v>
      </c>
      <c r="H6" s="16">
        <v>1369</v>
      </c>
      <c r="I6" s="16">
        <v>10591</v>
      </c>
      <c r="J6" s="16"/>
      <c r="K6" s="16">
        <f>SUM(E6:I6)</f>
        <v>15368</v>
      </c>
    </row>
    <row r="7" spans="1:11" ht="63" x14ac:dyDescent="0.25">
      <c r="A7" s="34" t="s">
        <v>134</v>
      </c>
      <c r="B7" s="27" t="s">
        <v>80</v>
      </c>
      <c r="C7" s="14" t="s">
        <v>86</v>
      </c>
      <c r="D7" s="16" t="s">
        <v>87</v>
      </c>
      <c r="E7" s="42">
        <v>5.391</v>
      </c>
      <c r="F7" s="42">
        <f>21602/5280</f>
        <v>4.0912878787878784</v>
      </c>
      <c r="G7" s="42">
        <f>48059/5280</f>
        <v>9.1020833333333329</v>
      </c>
      <c r="H7" s="42">
        <f>60264/5280</f>
        <v>11.413636363636364</v>
      </c>
      <c r="I7" s="42">
        <v>104.11150000000001</v>
      </c>
      <c r="J7" s="19"/>
      <c r="K7" s="42">
        <f>SUM(E7:I7)</f>
        <v>134.10950757575759</v>
      </c>
    </row>
    <row r="8" spans="1:11" ht="63" x14ac:dyDescent="0.25">
      <c r="A8" s="16" t="s">
        <v>135</v>
      </c>
      <c r="B8" s="27" t="s">
        <v>80</v>
      </c>
      <c r="C8" s="14" t="s">
        <v>89</v>
      </c>
      <c r="D8" s="16" t="s">
        <v>90</v>
      </c>
      <c r="E8" s="42">
        <v>14.362</v>
      </c>
      <c r="F8" s="42">
        <f>15054/5280</f>
        <v>2.8511363636363636</v>
      </c>
      <c r="G8" s="42">
        <f>57117/5280</f>
        <v>10.817613636363637</v>
      </c>
      <c r="H8" s="42">
        <f>76605/5280</f>
        <v>14.508522727272727</v>
      </c>
      <c r="I8" s="42">
        <v>89.771000000000001</v>
      </c>
      <c r="J8" s="19"/>
      <c r="K8" s="42">
        <f>SUM(E8:I8)</f>
        <v>132.31027272727272</v>
      </c>
    </row>
    <row r="9" spans="1:11" ht="78.75" x14ac:dyDescent="0.25">
      <c r="A9" s="14" t="s">
        <v>136</v>
      </c>
      <c r="B9" s="27" t="s">
        <v>80</v>
      </c>
      <c r="C9" s="14" t="s">
        <v>92</v>
      </c>
      <c r="D9" s="16" t="s">
        <v>137</v>
      </c>
      <c r="E9" s="17">
        <f>SUM(E11:E14)</f>
        <v>12892808.422500053</v>
      </c>
      <c r="F9" s="17">
        <f t="shared" ref="F9" si="3">SUM(F11:F14)</f>
        <v>2471177.0225</v>
      </c>
      <c r="G9" s="17">
        <f>SUM(G11:G14)</f>
        <v>7742704.4500000002</v>
      </c>
      <c r="H9" s="17">
        <f>SUM(H11:H14)</f>
        <v>10507831.869999999</v>
      </c>
      <c r="I9" s="17">
        <f>SUM(I11:I14)</f>
        <v>61261115.032499999</v>
      </c>
      <c r="J9" s="17"/>
      <c r="K9" s="17">
        <f t="shared" ref="K9" si="4">SUM(K11:K14)</f>
        <v>94875636.797500044</v>
      </c>
    </row>
    <row r="10" spans="1:11" ht="47.25" x14ac:dyDescent="0.25">
      <c r="A10" s="14"/>
      <c r="B10" s="31" t="s">
        <v>6</v>
      </c>
      <c r="C10" s="14" t="s">
        <v>95</v>
      </c>
      <c r="D10" s="16"/>
      <c r="E10" s="16"/>
      <c r="F10" s="16"/>
      <c r="G10" s="16"/>
      <c r="H10" s="16"/>
      <c r="I10" s="16"/>
      <c r="J10" s="16"/>
      <c r="K10" s="14"/>
    </row>
    <row r="11" spans="1:11" ht="145.5" customHeight="1" x14ac:dyDescent="0.25">
      <c r="A11" s="14" t="s">
        <v>138</v>
      </c>
      <c r="B11" s="27" t="s">
        <v>80</v>
      </c>
      <c r="C11" s="14" t="s">
        <v>97</v>
      </c>
      <c r="D11" s="14" t="s">
        <v>98</v>
      </c>
      <c r="E11" s="17">
        <f>(20931.9035000002*1000)/4</f>
        <v>5232975.8750000503</v>
      </c>
      <c r="F11" s="17">
        <f>(1033.04238*1000)/4</f>
        <v>258260.59500000003</v>
      </c>
      <c r="G11" s="17">
        <f>(3722.83009*1000)/4</f>
        <v>930707.52249999996</v>
      </c>
      <c r="H11" s="17">
        <f>(5868.14496*1000)/4</f>
        <v>1467036.24</v>
      </c>
      <c r="I11" s="17">
        <f>(9152.27755*1000)/4</f>
        <v>2288069.3875000002</v>
      </c>
      <c r="J11" s="16"/>
      <c r="K11" s="43">
        <f>SUM(E11:I11)</f>
        <v>10177049.620000049</v>
      </c>
    </row>
    <row r="12" spans="1:11" ht="78.75" x14ac:dyDescent="0.25">
      <c r="A12" s="14" t="s">
        <v>139</v>
      </c>
      <c r="B12" s="27" t="s">
        <v>80</v>
      </c>
      <c r="C12" s="14" t="s">
        <v>100</v>
      </c>
      <c r="D12" s="14" t="s">
        <v>101</v>
      </c>
      <c r="E12" s="17">
        <f>(23171.93158*1000)/4</f>
        <v>5792982.8950000005</v>
      </c>
      <c r="F12" s="17">
        <f>(8344.00764*1000)/4</f>
        <v>2086001.91</v>
      </c>
      <c r="G12" s="17">
        <f>(25671.78387*1000)/4</f>
        <v>6417945.9675000003</v>
      </c>
      <c r="H12" s="17">
        <f>(33972.9203*1000)/4</f>
        <v>8493230.0749999993</v>
      </c>
      <c r="I12" s="17">
        <f>(228569.61435*1000)/4</f>
        <v>57142403.587499999</v>
      </c>
      <c r="J12" s="16"/>
      <c r="K12" s="43">
        <f>SUM(E12:I12)</f>
        <v>79932564.435000002</v>
      </c>
    </row>
    <row r="13" spans="1:11" ht="52.5" customHeight="1" x14ac:dyDescent="0.25">
      <c r="A13" s="14" t="s">
        <v>140</v>
      </c>
      <c r="B13" s="27" t="s">
        <v>80</v>
      </c>
      <c r="C13" s="14" t="s">
        <v>103</v>
      </c>
      <c r="D13" s="14" t="s">
        <v>104</v>
      </c>
      <c r="E13" s="17">
        <f>(1988.67218*1000)/4</f>
        <v>497168.04499999998</v>
      </c>
      <c r="F13" s="17">
        <f>(182.12039*1000)/4</f>
        <v>45530.097499999996</v>
      </c>
      <c r="G13" s="17">
        <f>(530.52133*1000)/4</f>
        <v>132630.33250000002</v>
      </c>
      <c r="H13" s="17">
        <f>(845.08624*1000)/4</f>
        <v>211271.56</v>
      </c>
      <c r="I13" s="17">
        <f>(3997.63232*1000)/4</f>
        <v>999408.08000000007</v>
      </c>
      <c r="J13" s="16"/>
      <c r="K13" s="43">
        <f>SUM(E13:I13)</f>
        <v>1886008.115</v>
      </c>
    </row>
    <row r="14" spans="1:11" ht="126" x14ac:dyDescent="0.25">
      <c r="A14" s="14" t="s">
        <v>141</v>
      </c>
      <c r="B14" s="27" t="s">
        <v>80</v>
      </c>
      <c r="C14" s="16" t="s">
        <v>106</v>
      </c>
      <c r="D14" s="16" t="s">
        <v>107</v>
      </c>
      <c r="E14" s="17">
        <f>(5478.72643000001*1000)/4</f>
        <v>1369681.6075000025</v>
      </c>
      <c r="F14" s="17">
        <f>(325.53768*1000)/4</f>
        <v>81384.420000000013</v>
      </c>
      <c r="G14" s="17">
        <f>(1045.68251*1000)/4</f>
        <v>261420.62750000003</v>
      </c>
      <c r="H14" s="17">
        <f>(1345.17598*1000)/4</f>
        <v>336293.995</v>
      </c>
      <c r="I14" s="17">
        <f>(3324.93591*1000)/4</f>
        <v>831233.97750000004</v>
      </c>
      <c r="J14" s="16"/>
      <c r="K14" s="43">
        <f>SUM(E14:I14)</f>
        <v>2880014.6275000023</v>
      </c>
    </row>
    <row r="15" spans="1:11" ht="189" x14ac:dyDescent="0.25">
      <c r="A15" s="14" t="s">
        <v>142</v>
      </c>
      <c r="B15" s="31" t="s">
        <v>6</v>
      </c>
      <c r="C15" s="16" t="s">
        <v>143</v>
      </c>
      <c r="D15" s="16" t="s">
        <v>144</v>
      </c>
      <c r="E15" s="17">
        <v>0</v>
      </c>
      <c r="F15" s="17">
        <v>0</v>
      </c>
      <c r="G15" s="17">
        <v>0</v>
      </c>
      <c r="H15" s="17">
        <v>0</v>
      </c>
      <c r="I15" s="17">
        <v>0</v>
      </c>
      <c r="J15" s="16"/>
      <c r="K15" s="43">
        <f>SUM(E15:I15)</f>
        <v>0</v>
      </c>
    </row>
    <row r="16" spans="1:11" ht="78.75" x14ac:dyDescent="0.25">
      <c r="A16" s="14" t="s">
        <v>145</v>
      </c>
      <c r="B16" s="27" t="s">
        <v>80</v>
      </c>
      <c r="C16" s="14" t="s">
        <v>35</v>
      </c>
      <c r="D16" s="16" t="s">
        <v>109</v>
      </c>
      <c r="E16" s="42">
        <v>0.49299999999999999</v>
      </c>
      <c r="F16" s="42">
        <v>461</v>
      </c>
      <c r="G16" s="42">
        <v>454.85700000000003</v>
      </c>
      <c r="H16" s="42">
        <v>576.58500000000004</v>
      </c>
      <c r="I16" s="42">
        <v>647.10400000000004</v>
      </c>
      <c r="J16" s="16"/>
      <c r="K16" s="42">
        <f>AVERAGE(E16:I16)</f>
        <v>428.00779999999997</v>
      </c>
    </row>
    <row r="17" spans="1:11" ht="94.5" x14ac:dyDescent="0.25">
      <c r="A17" s="14" t="s">
        <v>146</v>
      </c>
      <c r="B17" s="27" t="s">
        <v>80</v>
      </c>
      <c r="C17" s="14" t="s">
        <v>111</v>
      </c>
      <c r="D17" s="16" t="s">
        <v>112</v>
      </c>
      <c r="E17" s="42">
        <v>11.157999999999999</v>
      </c>
      <c r="F17" s="42">
        <v>612.18181800000002</v>
      </c>
      <c r="G17" s="42">
        <v>622.96400000000006</v>
      </c>
      <c r="H17" s="42">
        <v>718.82899999999995</v>
      </c>
      <c r="I17" s="42">
        <v>808.53589999999997</v>
      </c>
      <c r="J17" s="16"/>
      <c r="K17" s="42">
        <f>AVERAGE(E17:I17)</f>
        <v>554.73374360000003</v>
      </c>
    </row>
    <row r="18" spans="1:11" x14ac:dyDescent="0.25">
      <c r="A18" s="5"/>
      <c r="B18" s="5"/>
      <c r="C18" s="5"/>
      <c r="D18" s="5"/>
      <c r="E18" s="5"/>
      <c r="F18" s="5"/>
      <c r="G18" s="5"/>
      <c r="H18" s="5"/>
      <c r="I18" s="5"/>
      <c r="J18" s="5"/>
      <c r="K18" s="5"/>
    </row>
    <row r="19" spans="1:11" x14ac:dyDescent="0.25">
      <c r="A19" s="5"/>
      <c r="B19" s="5"/>
      <c r="C19" s="5"/>
      <c r="D19" s="5"/>
    </row>
    <row r="20" spans="1:11" ht="33" customHeight="1" x14ac:dyDescent="0.25">
      <c r="A20" s="53" t="s">
        <v>113</v>
      </c>
      <c r="B20" s="53"/>
      <c r="C20" s="53"/>
      <c r="D20" s="53"/>
      <c r="E20" s="53"/>
    </row>
    <row r="21" spans="1:11" ht="45.75" customHeight="1" x14ac:dyDescent="0.25">
      <c r="A21" s="53" t="s">
        <v>114</v>
      </c>
      <c r="B21" s="53"/>
      <c r="C21" s="53"/>
      <c r="D21" s="53"/>
      <c r="E21" s="53"/>
    </row>
    <row r="22" spans="1:11" ht="48" customHeight="1" x14ac:dyDescent="0.25">
      <c r="A22" s="52" t="s">
        <v>115</v>
      </c>
      <c r="B22" s="52"/>
      <c r="C22" s="52"/>
      <c r="D22" s="52"/>
      <c r="E22" s="52"/>
    </row>
    <row r="23" spans="1:11" ht="35.25" customHeight="1" x14ac:dyDescent="0.25">
      <c r="A23" s="52" t="s">
        <v>147</v>
      </c>
      <c r="B23" s="52"/>
      <c r="C23" s="52"/>
      <c r="D23" s="52"/>
      <c r="E23" s="52"/>
    </row>
  </sheetData>
  <mergeCells count="4">
    <mergeCell ref="A23:E23"/>
    <mergeCell ref="A20:E20"/>
    <mergeCell ref="A21:E21"/>
    <mergeCell ref="A22:E22"/>
  </mergeCells>
  <conditionalFormatting sqref="D5:D8 D10:D1048576">
    <cfRule type="containsText" dxfId="0" priority="1" operator="containsText" text="Calculated">
      <formula>NOT(ISERROR(SEARCH("Calculated",D5)))</formula>
    </cfRule>
  </conditionalFormatting>
  <hyperlinks>
    <hyperlink ref="A20" r:id="rId1" location="_ftnref1" display="_ftnref1" xr:uid="{D88FF0C6-85C4-4093-8ABC-F43152959C14}"/>
    <hyperlink ref="A21" location="_ftnref2" display="_ftnref2" xr:uid="{95FF944B-8B75-4985-B10C-C0E092ECF4A9}"/>
    <hyperlink ref="B17" r:id="rId2" location="'Utility-Wide Costs by Program'!A22" xr:uid="{30783409-F973-4930-B3E3-4F7431D39780}"/>
    <hyperlink ref="B13:B14" r:id="rId3" location="'Utility-Wide Costs by Program'!A22" display="Main and service replacement programs [3]" xr:uid="{22F0074E-3C3C-4C25-994B-37EA4D6CC91A}"/>
    <hyperlink ref="B16" r:id="rId4" location="'Utility-Wide Costs by Program'!A22" xr:uid="{9F3F8AA8-6B36-444B-BD3B-E80D93A97EED}"/>
    <hyperlink ref="B11:B12" r:id="rId5" location="'Utility-Wide Costs by Program'!A22" display="Main and service replacement programs [3]" xr:uid="{AD837373-EB92-463D-A7A9-EC2E32A02043}"/>
    <hyperlink ref="B5:B9" r:id="rId6" location="'Utility-Wide Costs by Program'!A22" display="Main and service replacement programs [3]" xr:uid="{5DEBBA9B-C061-494F-AC37-85CF1364752A}"/>
    <hyperlink ref="D1" r:id="rId7" location="'Utility-Wide Costs by Program'!A23" xr:uid="{7D070C5D-D071-4DF7-96F3-AF7AF01F21F6}"/>
  </hyperlinks>
  <printOptions horizontalCentered="1"/>
  <pageMargins left="0.25" right="0.25" top="0.75" bottom="0.75" header="0.3" footer="0.3"/>
  <pageSetup scale="67" fitToHeight="0" orientation="landscape" r:id="rId8"/>
  <customProperties>
    <customPr name="_pios_id" r:id="rId9"/>
  </customProperties>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34B4-1EA3-43AF-8CE8-75225DFD3E5A}">
  <sheetPr>
    <pageSetUpPr fitToPage="1"/>
  </sheetPr>
  <dimension ref="B1:B8"/>
  <sheetViews>
    <sheetView topLeftCell="B1" workbookViewId="0">
      <selection activeCell="B3" sqref="B3"/>
    </sheetView>
  </sheetViews>
  <sheetFormatPr defaultRowHeight="15" x14ac:dyDescent="0.25"/>
  <cols>
    <col min="2" max="2" width="104.5703125" customWidth="1"/>
  </cols>
  <sheetData>
    <row r="1" spans="2:2" ht="16.5" thickBot="1" x14ac:dyDescent="0.3">
      <c r="B1" s="3" t="s">
        <v>148</v>
      </c>
    </row>
    <row r="2" spans="2:2" ht="103.5" x14ac:dyDescent="0.25">
      <c r="B2" s="12" t="s">
        <v>149</v>
      </c>
    </row>
    <row r="4" spans="2:2" ht="16.5" thickBot="1" x14ac:dyDescent="0.3">
      <c r="B4" s="3" t="s">
        <v>150</v>
      </c>
    </row>
    <row r="5" spans="2:2" ht="235.5" customHeight="1" x14ac:dyDescent="0.25">
      <c r="B5" s="10" t="s">
        <v>151</v>
      </c>
    </row>
    <row r="7" spans="2:2" ht="16.5" thickBot="1" x14ac:dyDescent="0.3">
      <c r="B7" s="3" t="s">
        <v>152</v>
      </c>
    </row>
    <row r="8" spans="2:2" ht="167.25" customHeight="1" x14ac:dyDescent="0.25">
      <c r="B8" s="10" t="s">
        <v>153</v>
      </c>
    </row>
  </sheetData>
  <printOptions horizontalCentered="1"/>
  <pageMargins left="0.25" right="0.25" top="0.75" bottom="0.75" header="0.3" footer="0.3"/>
  <pageSetup scale="81"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75D4-DE25-4D76-AECA-0ACFF17E23A1}">
  <dimension ref="B1:B40"/>
  <sheetViews>
    <sheetView workbookViewId="0">
      <selection activeCell="B17" sqref="B17"/>
    </sheetView>
  </sheetViews>
  <sheetFormatPr defaultColWidth="8.7109375" defaultRowHeight="15.75" x14ac:dyDescent="0.25"/>
  <cols>
    <col min="1" max="1" width="8.7109375" style="1"/>
    <col min="2" max="2" width="148.28515625" style="6" customWidth="1"/>
    <col min="3" max="16384" width="8.7109375" style="1"/>
  </cols>
  <sheetData>
    <row r="1" spans="2:2" ht="17.25" x14ac:dyDescent="0.25">
      <c r="B1" s="8" t="s">
        <v>154</v>
      </c>
    </row>
    <row r="2" spans="2:2" ht="17.25" x14ac:dyDescent="0.25">
      <c r="B2" s="9" t="s">
        <v>155</v>
      </c>
    </row>
    <row r="3" spans="2:2" ht="17.25" x14ac:dyDescent="0.25">
      <c r="B3" s="9" t="s">
        <v>156</v>
      </c>
    </row>
    <row r="4" spans="2:2" ht="17.25" x14ac:dyDescent="0.25">
      <c r="B4" s="9" t="s">
        <v>157</v>
      </c>
    </row>
    <row r="5" spans="2:2" ht="34.5" x14ac:dyDescent="0.25">
      <c r="B5" s="9" t="s">
        <v>158</v>
      </c>
    </row>
    <row r="6" spans="2:2" ht="51.75" x14ac:dyDescent="0.25">
      <c r="B6" s="9" t="s">
        <v>159</v>
      </c>
    </row>
    <row r="7" spans="2:2" ht="34.5" x14ac:dyDescent="0.25">
      <c r="B7" s="9" t="s">
        <v>160</v>
      </c>
    </row>
    <row r="8" spans="2:2" ht="17.25" x14ac:dyDescent="0.25">
      <c r="B8" s="9" t="s">
        <v>161</v>
      </c>
    </row>
    <row r="9" spans="2:2" ht="17.25" x14ac:dyDescent="0.25">
      <c r="B9" s="9" t="s">
        <v>162</v>
      </c>
    </row>
    <row r="10" spans="2:2" ht="17.25" x14ac:dyDescent="0.25">
      <c r="B10" s="9" t="s">
        <v>163</v>
      </c>
    </row>
    <row r="11" spans="2:2" ht="17.25" x14ac:dyDescent="0.25">
      <c r="B11" s="9" t="s">
        <v>164</v>
      </c>
    </row>
    <row r="12" spans="2:2" ht="17.25" x14ac:dyDescent="0.25">
      <c r="B12" s="9" t="s">
        <v>165</v>
      </c>
    </row>
    <row r="13" spans="2:2" ht="34.5" x14ac:dyDescent="0.25">
      <c r="B13" s="9" t="s">
        <v>166</v>
      </c>
    </row>
    <row r="14" spans="2:2" ht="17.25" x14ac:dyDescent="0.25">
      <c r="B14" s="9" t="s">
        <v>167</v>
      </c>
    </row>
    <row r="15" spans="2:2" ht="17.25" x14ac:dyDescent="0.25">
      <c r="B15" s="9" t="s">
        <v>168</v>
      </c>
    </row>
    <row r="16" spans="2:2" ht="17.25" x14ac:dyDescent="0.25">
      <c r="B16" s="9" t="s">
        <v>169</v>
      </c>
    </row>
    <row r="17" spans="2:2" ht="17.25" x14ac:dyDescent="0.25">
      <c r="B17" s="9" t="s">
        <v>170</v>
      </c>
    </row>
    <row r="18" spans="2:2" ht="17.25" x14ac:dyDescent="0.25">
      <c r="B18" s="9" t="s">
        <v>171</v>
      </c>
    </row>
    <row r="19" spans="2:2" ht="51.75" x14ac:dyDescent="0.25">
      <c r="B19" s="9" t="s">
        <v>172</v>
      </c>
    </row>
    <row r="20" spans="2:2" ht="51.75" x14ac:dyDescent="0.25">
      <c r="B20" s="9" t="s">
        <v>173</v>
      </c>
    </row>
    <row r="21" spans="2:2" ht="51.75" customHeight="1" x14ac:dyDescent="0.25">
      <c r="B21" s="9" t="s">
        <v>174</v>
      </c>
    </row>
    <row r="22" spans="2:2" ht="17.25" x14ac:dyDescent="0.25">
      <c r="B22" s="9" t="s">
        <v>175</v>
      </c>
    </row>
    <row r="23" spans="2:2" ht="17.25" x14ac:dyDescent="0.25">
      <c r="B23" s="9" t="s">
        <v>176</v>
      </c>
    </row>
    <row r="24" spans="2:2" ht="17.25" x14ac:dyDescent="0.25">
      <c r="B24" s="9" t="s">
        <v>177</v>
      </c>
    </row>
    <row r="25" spans="2:2" ht="34.5" x14ac:dyDescent="0.25">
      <c r="B25" s="9" t="s">
        <v>178</v>
      </c>
    </row>
    <row r="26" spans="2:2" ht="17.25" x14ac:dyDescent="0.25">
      <c r="B26" s="9" t="s">
        <v>179</v>
      </c>
    </row>
    <row r="27" spans="2:2" ht="17.25" x14ac:dyDescent="0.25">
      <c r="B27" s="9" t="s">
        <v>180</v>
      </c>
    </row>
    <row r="28" spans="2:2" x14ac:dyDescent="0.25">
      <c r="B28" s="5"/>
    </row>
    <row r="29" spans="2:2" x14ac:dyDescent="0.25">
      <c r="B29" s="5"/>
    </row>
    <row r="30" spans="2:2" ht="33" x14ac:dyDescent="0.25">
      <c r="B30" s="11" t="s">
        <v>181</v>
      </c>
    </row>
    <row r="31" spans="2:2" ht="36.75" customHeight="1" x14ac:dyDescent="0.25">
      <c r="B31" s="11" t="s">
        <v>182</v>
      </c>
    </row>
    <row r="32" spans="2:2" ht="111" customHeight="1" x14ac:dyDescent="0.25">
      <c r="B32" s="11" t="s">
        <v>183</v>
      </c>
    </row>
    <row r="33" spans="2:2" ht="49.5" x14ac:dyDescent="0.25">
      <c r="B33" s="11" t="s">
        <v>184</v>
      </c>
    </row>
    <row r="34" spans="2:2" ht="92.25" customHeight="1" x14ac:dyDescent="0.25">
      <c r="B34" s="11" t="s">
        <v>185</v>
      </c>
    </row>
    <row r="35" spans="2:2" ht="16.5" x14ac:dyDescent="0.25">
      <c r="B35" s="11" t="s">
        <v>186</v>
      </c>
    </row>
    <row r="36" spans="2:2" ht="33" x14ac:dyDescent="0.25">
      <c r="B36" s="11" t="s">
        <v>187</v>
      </c>
    </row>
    <row r="37" spans="2:2" ht="66" x14ac:dyDescent="0.25">
      <c r="B37" s="11" t="s">
        <v>188</v>
      </c>
    </row>
    <row r="38" spans="2:2" ht="49.5" x14ac:dyDescent="0.25">
      <c r="B38" s="11" t="s">
        <v>189</v>
      </c>
    </row>
    <row r="39" spans="2:2" ht="82.5" x14ac:dyDescent="0.25">
      <c r="B39" s="11" t="s">
        <v>190</v>
      </c>
    </row>
    <row r="40" spans="2:2" ht="95.25" customHeight="1" x14ac:dyDescent="0.25">
      <c r="B40" s="11" t="s">
        <v>191</v>
      </c>
    </row>
  </sheetData>
  <hyperlinks>
    <hyperlink ref="B35" r:id="rId1" location="_ftnref6" display="_ftnref6" xr:uid="{98DCD980-6144-40A8-B9DB-1D37E0F8BCA2}"/>
    <hyperlink ref="B7" location="_ftn2" display="_ftn2" xr:uid="{7F8EB5AE-6B0C-402D-8528-BAC145E5D371}"/>
    <hyperlink ref="B6" location="_ftn1" display="_ftn1" xr:uid="{985EE931-B1C6-40F0-A279-DD123ACC76C3}"/>
    <hyperlink ref="B25" location="_ftn11" display="_ftn11" xr:uid="{CDCF1AC9-3349-4089-8105-5E50CD967B22}"/>
    <hyperlink ref="B23" location="_ftn10" display="_ftn10" xr:uid="{FAF43826-8F32-4876-A993-86D72BA434E1}"/>
    <hyperlink ref="B22" location="_ftn9" display="_ftn9" xr:uid="{EEA0AEC4-7990-4E8A-A37A-9F532BB6B1AC}"/>
    <hyperlink ref="B21" location="_ftn8" display="_ftn8" xr:uid="{0D28A634-8C6C-4D67-9EB8-441B66562165}"/>
    <hyperlink ref="B18" r:id="rId2" location="_ftn7" display="_ftn7" xr:uid="{3655E9CF-CCC0-43C1-9AF7-C89A8CA343DD}"/>
    <hyperlink ref="B17" r:id="rId3" location="_ftn6" display="_ftn6" xr:uid="{4AE5FFD3-DB54-4DA6-8E03-E32BFDBAC370}"/>
    <hyperlink ref="B16" r:id="rId4" location="_ftn5" display="_ftn5" xr:uid="{928FEE7F-55DE-4CFA-92E4-B4795195B128}"/>
    <hyperlink ref="B15" r:id="rId5" location="_ftn4" display="_ftn4" xr:uid="{68C32DF7-D8FF-463E-9E46-37207EF13A8D}"/>
    <hyperlink ref="B14" location="_ftn3" display="_ftn3" xr:uid="{C18703AB-60E4-41EF-BB9C-45E01B7864B5}"/>
    <hyperlink ref="B33" r:id="rId6" location="_ftnref4" display="_ftnref4" xr:uid="{B9BBEF0E-7FDE-4BE1-B2D7-CCDFF8D87A98}"/>
    <hyperlink ref="B36" r:id="rId7" location="_ftnref7" display="_ftnref7" xr:uid="{6BDA4843-4775-4E1D-B106-CB59E78A2C66}"/>
    <hyperlink ref="B34" r:id="rId8" location="_ftnref5" display="_ftnref5" xr:uid="{1DD576FA-542B-4656-B034-A1BEB3CF543D}"/>
  </hyperlinks>
  <printOptions horizontalCentered="1"/>
  <pageMargins left="0.25" right="0.25" top="0.75" bottom="0.75" header="0.3" footer="0.3"/>
  <pageSetup fitToWidth="0" fitToHeight="0" orientation="landscape" r:id="rId9"/>
  <customProperties>
    <customPr name="_pios_id" r:id="rId10"/>
  </customProperties>
  <drawing r:id="rId11"/>
  <legacy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election activeCell="C20" sqref="C20"/>
    </sheetView>
  </sheetViews>
  <sheetFormatPr defaultColWidth="8.7109375" defaultRowHeight="15.75" x14ac:dyDescent="0.25"/>
  <cols>
    <col min="1" max="1" width="20.28515625" style="6" customWidth="1"/>
    <col min="2" max="2" width="26.140625" style="6" customWidth="1"/>
    <col min="3" max="3" width="43.7109375" style="6" customWidth="1"/>
    <col min="4" max="16384" width="8.7109375" style="6"/>
  </cols>
  <sheetData>
    <row r="1" spans="1:3" ht="17.25" thickBot="1" x14ac:dyDescent="0.3">
      <c r="A1" s="35" t="s">
        <v>95</v>
      </c>
      <c r="B1" s="7" t="s">
        <v>192</v>
      </c>
      <c r="C1" s="7" t="s">
        <v>193</v>
      </c>
    </row>
    <row r="2" spans="1:3" ht="16.5" thickBot="1" x14ac:dyDescent="0.3">
      <c r="A2" s="36" t="s">
        <v>106</v>
      </c>
      <c r="B2" s="2" t="s">
        <v>194</v>
      </c>
      <c r="C2" s="2" t="s">
        <v>195</v>
      </c>
    </row>
    <row r="3" spans="1:3" ht="16.5" thickBot="1" x14ac:dyDescent="0.3">
      <c r="A3" s="36" t="s">
        <v>106</v>
      </c>
      <c r="B3" s="2" t="s">
        <v>196</v>
      </c>
      <c r="C3" s="2" t="s">
        <v>197</v>
      </c>
    </row>
    <row r="4" spans="1:3" ht="48" thickBot="1" x14ac:dyDescent="0.3">
      <c r="A4" s="36" t="s">
        <v>106</v>
      </c>
      <c r="B4" s="2" t="s">
        <v>198</v>
      </c>
      <c r="C4" s="4" t="s">
        <v>199</v>
      </c>
    </row>
    <row r="5" spans="1:3" ht="16.5" thickBot="1" x14ac:dyDescent="0.3">
      <c r="A5" s="36" t="s">
        <v>106</v>
      </c>
      <c r="B5" s="2" t="s">
        <v>200</v>
      </c>
      <c r="C5" s="2" t="s">
        <v>201</v>
      </c>
    </row>
    <row r="6" spans="1:3" ht="173.25" x14ac:dyDescent="0.25">
      <c r="A6" s="36" t="s">
        <v>106</v>
      </c>
      <c r="B6" s="2" t="s">
        <v>202</v>
      </c>
      <c r="C6" s="2" t="s">
        <v>203</v>
      </c>
    </row>
    <row r="7" spans="1:3" ht="48" thickBot="1" x14ac:dyDescent="0.3">
      <c r="A7" s="36" t="s">
        <v>106</v>
      </c>
      <c r="B7" s="2" t="s">
        <v>204</v>
      </c>
      <c r="C7" s="2" t="s">
        <v>205</v>
      </c>
    </row>
  </sheetData>
  <printOptions horizontalCentered="1"/>
  <pageMargins left="0.25" right="0.25" top="0.75" bottom="0.75" header="0.3" footer="0.3"/>
  <pageSetup fitToWidth="0" fitToHeight="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Props1.xml><?xml version="1.0" encoding="utf-8"?>
<ds:datastoreItem xmlns:ds="http://schemas.openxmlformats.org/officeDocument/2006/customXml" ds:itemID="{D0C1FBA9-604E-4419-A5E2-C9E66CFB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BA5C40-91D0-482F-A1F2-1057168C1A11}">
  <ds:schemaRefs>
    <ds:schemaRef ds:uri="http://schemas.microsoft.com/sharepoint/v3/contenttype/forms"/>
  </ds:schemaRefs>
</ds:datastoreItem>
</file>

<file path=customXml/itemProps3.xml><?xml version="1.0" encoding="utf-8"?>
<ds:datastoreItem xmlns:ds="http://schemas.openxmlformats.org/officeDocument/2006/customXml" ds:itemID="{107E6BEF-8566-4864-8C88-829FC3C7E2A3}">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f106d400-29c2-45d7-a0fd-a9c264a1d640"/>
    <ds:schemaRef ds:uri="http://purl.org/dc/terms/"/>
    <ds:schemaRef ds:uri="dd7a9330-e4d1-4d3a-9f0a-edcc72e823e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28</vt:i4>
      </vt:variant>
    </vt:vector>
  </HeadingPairs>
  <TitlesOfParts>
    <vt:vector size="34" baseType="lpstr">
      <vt:lpstr>Summary</vt:lpstr>
      <vt:lpstr>Costs by Operating District</vt:lpstr>
      <vt:lpstr>Utility-Wide Costs by Program</vt:lpstr>
      <vt:lpstr>Directions</vt:lpstr>
      <vt:lpstr>Definitions</vt:lpstr>
      <vt:lpstr>Definitions of Other Misc Costs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'Utility-Wide Costs by Program'!_ftnref1</vt:lpstr>
      <vt:lpstr>Definitions!_ftnref10</vt:lpstr>
      <vt:lpstr>Definitions!_ftnref11</vt:lpstr>
      <vt:lpstr>'Costs by Operating District'!_ftnref2</vt:lpstr>
      <vt:lpstr>Summary!_ftnref2</vt:lpstr>
      <vt:lpstr>Definitions!_ftnref3</vt:lpstr>
      <vt:lpstr>Definitions!_ftnref4</vt:lpstr>
      <vt:lpstr>Definitions!_ftnref5</vt:lpstr>
      <vt:lpstr>Definitions!_ftnref6</vt:lpstr>
      <vt:lpstr>Definitions!_ftnref7</vt:lpstr>
      <vt:lpstr>Definitions!_ftnref8</vt:lpstr>
      <vt:lpstr>Definitions!_ftnref9</vt:lpstr>
      <vt:lpstr>'Costs by Operating District'!Print_Area</vt:lpstr>
      <vt:lpstr>Definitions!Print_Area</vt:lpstr>
      <vt:lpstr>'Definitions of Other Misc Costs'!Print_Area</vt:lpstr>
      <vt:lpstr>Directions!Print_Area</vt:lpstr>
      <vt:lpstr>Summary!Print_Area</vt:lpstr>
      <vt:lpstr>'Utility-Wide Costs by Program'!Print_Area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Pisaneschi, Robert</cp:lastModifiedBy>
  <cp:revision/>
  <cp:lastPrinted>2025-12-09T23:14:35Z</cp:lastPrinted>
  <dcterms:created xsi:type="dcterms:W3CDTF">2025-09-03T18:53:20Z</dcterms:created>
  <dcterms:modified xsi:type="dcterms:W3CDTF">2026-03-06T05:37:53Z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014495bb-d24c-469d-ab62-2cc58768b680</vt:lpwstr>
  </property>
  <property fmtid="{D5CDD505-2E9C-101B-9397-08002B2CF9AE}" pid="4" name="MediaServiceImageTags">
    <vt:lpwstr/>
  </property>
  <property fmtid="{D5CDD505-2E9C-101B-9397-08002B2CF9AE}" pid="5" name="CofWorkbookId">
    <vt:lpwstr>6c047989-330f-4f74-9c6d-f594daab6508</vt:lpwstr>
  </property>
</Properties>
</file>